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3.vml" ContentType="application/vnd.openxmlformats-officedocument.vmlDrawing"/>
  <Override PartName="/xl/drawings/vmlDrawing1.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_rels/workbook.xml.rels" ContentType="application/vnd.openxmlformats-package.relationships+xml"/>
  <Override PartName="/xl/comments4.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Plan A" sheetId="2" state="visible" r:id="rId4"/>
    <sheet name="Plan B" sheetId="3" state="visible" r:id="rId5"/>
    <sheet name="Example (Bergger)" sheetId="4" state="visible" r:id="rId6"/>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J4" authorId="0">
      <text>
        <r>
          <rPr>
            <sz val="10"/>
            <rFont val="Arial"/>
            <family val="2"/>
          </rPr>
          <t xml:space="preserve">Height of the sensor above the printing plane (cm). Gossen Luna with the darkroom accessory: 3 cm. The reading is corrected to the paper plane: ΔEV = 2·log2((H−sesp)/H).</t>
        </r>
      </text>
    </comment>
    <comment ref="J5" authorId="0">
      <text>
        <r>
          <rPr>
            <sz val="10"/>
            <rFont val="Arial"/>
            <family val="2"/>
          </rPr>
          <t xml:space="preserve">Shifts your readings to the corrected EV200 scale (EV200 = log2(lux/2.6) + 1). Gossen Luna with the darkroom accessory: reading 0 = EV200 -2, so tara = -2. VEML7700 instrument: 0.</t>
        </r>
      </text>
    </comment>
    <comment ref="J6" authorId="0">
      <text>
        <r>
          <rPr>
            <sz val="10"/>
            <rFont val="Arial"/>
            <family val="2"/>
          </rPr>
          <t xml:space="preserve">Multiplies the readings that are negative on your lightmeter (before tara). Gossen Luna: 1.2152. If your instrument is linear: 1.</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J4" authorId="0">
      <text>
        <r>
          <rPr>
            <sz val="10"/>
            <rFont val="Arial"/>
            <family val="2"/>
          </rPr>
          <t xml:space="preserve">Height of the sensor above the printing plane (cm). Gossen Luna with the darkroom accessory: 3 cm. The reading is corrected to the paper plane: ΔEV = 2·log2((H−sesp)/H).</t>
        </r>
      </text>
    </comment>
    <comment ref="J5" authorId="0">
      <text>
        <r>
          <rPr>
            <sz val="10"/>
            <rFont val="Arial"/>
            <family val="2"/>
          </rPr>
          <t xml:space="preserve">Shifts your readings to the corrected EV200 scale (EV200 = log2(lux/2.6) + 1). Gossen Luna with the darkroom accessory: reading 0 = EV200 -2, so tara = -2. VEML7700 instrument: 0.</t>
        </r>
      </text>
    </comment>
    <comment ref="J6" authorId="0">
      <text>
        <r>
          <rPr>
            <sz val="10"/>
            <rFont val="Arial"/>
            <family val="2"/>
          </rPr>
          <t xml:space="preserve">Multiplies the readings that are negative on your lightmeter (before tara). Gossen Luna: 1.2152. If your instrument is linear: 1.</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J4" authorId="0">
      <text>
        <r>
          <rPr>
            <sz val="10"/>
            <rFont val="Arial"/>
            <family val="2"/>
          </rPr>
          <t xml:space="preserve">Height of the sensor above the printing plane (cm). Gossen Luna with the darkroom accessory: 3 cm. The reading is corrected to the paper plane: ΔEV = 2·log2((H−sesp)/H).</t>
        </r>
      </text>
    </comment>
    <comment ref="J5" authorId="0">
      <text>
        <r>
          <rPr>
            <sz val="10"/>
            <rFont val="Arial"/>
            <family val="2"/>
          </rPr>
          <t xml:space="preserve">Shifts your readings to the corrected EV200 scale (EV200 = log2(lux/2.6) + 1). Gossen Luna with the darkroom accessory: reading 0 = EV200 -2, so tara = -2. VEML7700 instrument: 0.</t>
        </r>
      </text>
    </comment>
    <comment ref="J6" authorId="0">
      <text>
        <r>
          <rPr>
            <sz val="10"/>
            <rFont val="Arial"/>
            <family val="2"/>
          </rPr>
          <t xml:space="preserve">Multiplies the readings that are negative on your lightmeter (before tara). Gossen Luna: 1.2152. If your instrument is linear: 1.</t>
        </r>
      </text>
    </comment>
  </commentList>
</comments>
</file>

<file path=xl/sharedStrings.xml><?xml version="1.0" encoding="utf-8"?>
<sst xmlns="http://schemas.openxmlformats.org/spreadsheetml/2006/main" count="191" uniqueCount="76">
  <si>
    <t xml:space="preserve">PHOTO PAPER PROFILER – PAPER PROFILING FILE (EN)</t>
  </si>
  <si>
    <t xml:space="preserve">What it is for: you measure how your paper responds to light, with one sheet per grade (0-5). The file computes the equivalent exposure feq = √(T·2^EV200) of every strip; the app then finds the 4 points P1…P4 of each grade (Paper profiles › Profile from data, or paste the table in 'Paste table').</t>
  </si>
  <si>
    <t xml:space="preserve">Terms: a SHEET is an uncut sheet of photographic paper; a SHEET SECTION is a part of a sheet used to make strips; a STRIP is a part of a sheet with the same exposure. The pages of this Excel file are called TABS.</t>
  </si>
  <si>
    <t xml:space="preserve">Two tabs, two plans. PLAN A: for each grade you expose one sheet; the whole sheet is one sheet section, with 40 strips all at one light level, EV200 = -2 (long times, up to about 4 minutes). PLAN B (recommended): you read the light once, at the widest lens aperture, where lightmeters are reliable (EV200 = +2); then, for each grade, you divide the sheet into 3 sheet sections, one for each reduction of the lens aperture (0, 2 and 4 stops: EV200 +2, 0 and -2), with 13 strips in each (39 per sheet). The times are short (up to 16 s) and the level is not read where the instrument is least accurate. An error of 0.1 EV on the reference level changes all the final times by 7%.</t>
  </si>
  <si>
    <t xml:space="preserve">1. Your lightmeter. In the yellow cells J3:J7 of the tab of your plan write H (lens to paper), the sesp, tara and corr of your lightmeter and the reading. Gossen Luna with the darkroom accessory: sesp 3, tara -2, corr 1.2152. An instrument that already gives the corrected EV200 (for example the VEML7700 lightmeter): sesp 0, tara 0, corr 1. The tab converts every reading to the corrected EV200 scale: (reading × corr, only if negative) + tara + correction for the sensor height. The scale is EV200 = log2(lux/2.6) + 1.</t>
  </si>
  <si>
    <t xml:space="preserve">2. Set the light. Choose a negative with a uniform grey frame. Cell J12 tells you which reading to aim for on your lightmeter. Plan A: head height such that the corrected EV200 at the level you expose is -2 (if you read at a higher level and then close the lens, write the stops in J8). Plan B: head height such that the lightmeter, at the widest aperture, gives the reading of J12 at the centre of the beam; then expose sheet section 1 with the lens closed by 4 stops, section 2 by 2 stops, section 3 at the widest aperture (the stops are in column J).</t>
  </si>
  <si>
    <t xml:space="preserve">3. Expose the sheets (grades 0-5, about 18 × 24 cm). On each sheet section make the strips with growing times T. The times come from the feq range you choose (lowest and highest feq, suggested 0.5 and 8, and the number of strips: 40 per sheet in plan A, 13 per sheet section in plan B): whole seconds on a logarithmic scale, the first ones consecutive seconds. They are already written in column B; overwrite them if you use other times. In plan B the strips at the boundaries (a feq of about 2 and of about 4 appear in two sections) check the lens scale: the two feq are almost equal (they differ only because the times are whole seconds), so they must give almost the same gray.</t>
  </si>
  <si>
    <t xml:space="preserve">4. Compare every strip with a scale of exactly 11 gray levels: 1 = white … 11 = black (for example the B.I.G. Test Plate RES7 used by the author, or a reflective chart with an 11-step gray scale such as the Image Engineering TE153 or TE83). You may use decimals, e.g. 5.33. Type the gray level of each grade in the yellow cells (columns C to H). EV200 (column A) and feq (column I) fill themselves.</t>
  </si>
  <si>
    <t xml:space="preserve">5. Look at the chart: the points of each grade should form a smooth S-shaped curve. Fix typing errors.</t>
  </si>
  <si>
    <t xml:space="preserve">6. Select columns A to H of the rows with data (not the header), copy, and in the app open Paper profiles › Profile from data › Paste table, paste into the box and press Analyze. Check each grade, correct the points if you want, then Save. (Or type the readings directly in the app, 'By grade'.)</t>
  </si>
  <si>
    <t xml:space="preserve">Colours: yellow = you fill in (bright = settings, light = measurements) · grey = computed.</t>
  </si>
  <si>
    <t xml:space="preserve">Example of a row (EV200, T, grade 0…5):  -2 | 10 | 4.5 | 4 | 3 | 1.45 | 1.4 | 1.4   (taken from the Bergger example tab: H 77 cm, reading 0, tara -2).</t>
  </si>
  <si>
    <t xml:space="preserve">The 'Example (Bergger)' tab contains real measurements (author's data, Bergger Prestige Variable CB Style, developed as the paper maker recommends, plan A with 40 strips): copy its rows into the app to try the procedure.</t>
  </si>
  <si>
    <t xml:space="preserve">PHOTO PAPER PROFILER – FILE DI PROFILATURA DELLA CARTA (IT)</t>
  </si>
  <si>
    <t xml:space="preserve">A cosa serve: misuri come la tua carta risponde alla luce, con un foglio per ogni gradazione (0-5). Il file calcola l'esposizione equivalente feq = √(T·2^EV200) di ogni striscia; l'app trova poi i 4 punti P1…P4 di ogni gradazione (Paper profiles › Profile from data, oppure incolla la tabella in 'Paste table').</t>
  </si>
  <si>
    <t xml:space="preserve">Termini: un FOGLIO è un foglio di carta fotografica non tagliato; una SEZIONE DI FOGLIO (sheet section) è una parte di foglio usata per creare le strisce; una STRISCIA (strip) è una parte di foglio con la stessa esposizione. Le pagine di questo file Excel si chiamano SCHEDE.</t>
  </si>
  <si>
    <t xml:space="preserve">Due schede, due piani. PIANO A: per ogni gradazione esponi un foglio; tutto il foglio è una sezione di foglio, con 40 strisce tutte a un solo livello di luce, EV200 = -2 (tempi lunghi, fino a circa 4 minuti). PIANO B (consigliato): leggi la luce una sola volta, a tutta apertura, dove gli esposimetri sono affidabili (EV200 = +2); poi, per ogni gradazione, dividi il foglio in 3 sezioni di foglio, una per ogni riduzione del diaframma (0, 2 e 4 stop: EV200 +2, 0 e -2), con 13 strisce in ciascuna (39 per foglio). I tempi sono brevi (fino a 16 s) e il livello non è letto dove lo strumento è meno preciso. Un errore di 0,1 EV sul livello di riferimento cambia del 7% tutti i tempi finali.</t>
  </si>
  <si>
    <t xml:space="preserve">1. Il tuo esposimetro. Nelle celle gialle J3:J7 della scheda del tuo piano scrivi H (lente-carta), sesp, tara e corr del tuo esposimetro e la lettura. Gossen Luna con accessorio camera oscura: sesp 3, tara -2, corr 1,2152. Strumento che dà già l'EV200 corretto (per esempio l'esposimetro VEML7700): sesp 0, tara 0, corr 1. La scheda converte ogni lettura nella scala EV200 corretta: (lettura × corr, solo se negativa) + tara + correzione per l'altezza del sensore. La scala è EV200 = log2(lux/2,6) + 1.</t>
  </si>
  <si>
    <t xml:space="preserve">2. Prepara la luce. Scegli un negativo con fotogramma grigio uniforme. La cella J12 dice quale lettura puntare sul tuo esposimetro. Piano A: altezza della testa tale che l'EV200 corretto al livello che esponi sia -2 (se leggi a un livello più alto e poi chiudi il diaframma, scrivi gli stop in J8). Piano B: altezza della testa tale che l'esposimetro, a tutta apertura, dia la lettura di J12 al centro del fascio; poi esponi la sezione di foglio 1 con il diaframma chiuso di 4 stop, la sezione 2 di 2 stop, la sezione 3 a tutta apertura (gli stop sono nella colonna J).</t>
  </si>
  <si>
    <t xml:space="preserve">3. Esponi i fogli (gradazioni 0-5, circa 18 × 24 cm). Su ogni sezione di foglio fai le strisce con tempi T crescenti. I tempi derivano dall'intervallo di feq che scegli (feq minima e massima, consigliate 0,5 e 8, e numero di strisce: 40 per foglio nel piano A, 13 per sezione di foglio nel piano B): secondi interi in scala logaritmica, i primi consecutivi. Sono già scritti nella colonna B; sovrascrivili se usi altri tempi. Nel piano B le strisce ai confini (una feq di circa 2 e di circa 4 compaiono in due sezioni) controllano la scala del diaframma: le due feq sono quasi uguali (differiscono solo perché i tempi sono secondi interi), quindi devono dare quasi lo stesso grigio.</t>
  </si>
  <si>
    <t xml:space="preserve">4. Confronta ogni striscia con una scala di esattamente 11 livelli di grigio: 1 = bianco … 11 = nero (per esempio la B.I.G. Test Plate RES7 usata dall'autore, oppure una tavola riflettente con scala di grigi a 11 gradini come le Image Engineering TE153 o TE83). Puoi usare i decimali, per esempio 5.33. Scrivi il livello di grigio di ogni gradazione nelle celle gialle (colonne da C a H). EV200 (colonna A) e feq (colonna I) si compilano da sole.</t>
  </si>
  <si>
    <t xml:space="preserve">5. Guarda il grafico: i punti di ogni gradazione devono formare una curva a S regolare. Correggi gli errori di battitura.</t>
  </si>
  <si>
    <t xml:space="preserve">6. Seleziona le colonne da A a H delle righe con i dati (senza l'intestazione), copia e, nell'app, apri Paper profiles › Profile from data › Paste table, incolla nella casella e premi Analyze. Controlla ogni gradazione, correggi i punti se vuoi, poi Save. (Oppure scrivi le letture direttamente nell'app, 'By grade'.)</t>
  </si>
  <si>
    <t xml:space="preserve">Colori: giallo = da compilare (vivo = impostazioni, chiaro = misure) · grigio = calcolato.</t>
  </si>
  <si>
    <t xml:space="preserve">Esempio di riga (EV200, T, gradazioni 0…5):  -2 | 10 | 4.5 | 4 | 3 | 1.45 | 1.4 | 1.4   (dalla scheda d'esempio Bergger: H 77 cm, lettura 0, tara -2).</t>
  </si>
  <si>
    <t xml:space="preserve">La scheda 'Example (Bergger)' contiene misure reali (dati dell'autore, Bergger Prestige Variable CB Style, sviluppata come indica il produttore, piano A con 40 strisce): copiane le righe nell'app per provare la procedura.</t>
  </si>
  <si>
    <t xml:space="preserve">Notes · Note: ΔEV = 1/log10(2)·log10(((H−sesp)/H)²). The times are whole seconds spread on a logarithmic scale (consecutive seconds at the start, then a geometric part), the same rule as the app. Input cells carry no external source: you measure them. · Le celle di input non hanno una fonte esterna: le misuri tu.</t>
  </si>
  <si>
    <t xml:space="preserve">Paper profiling sheet · Foglio di profilatura della carta – PLAN A – one light level</t>
  </si>
  <si>
    <t xml:space="preserve">Yellow = to be filled in · grey = computed, do not edit · Giallo = da compilare · grigio = calcolato, non modificare</t>
  </si>
  <si>
    <t xml:space="preserve">Strip times (plan A, whole sheet = one sheet section) · tempi delle strisce</t>
  </si>
  <si>
    <t xml:space="preserve">H – lens to printing plane (cm) · distanza lente-piano di stampa</t>
  </si>
  <si>
    <t xml:space="preserve">Stops closed from the reading · stop chiusi dalla lettura</t>
  </si>
  <si>
    <t xml:space="preserve">sesp – height of the lightmeter sensor above the paper (cm) · altezza del sensore sopra la carta</t>
  </si>
  <si>
    <t xml:space="preserve">EV200 of this level (computed) · EV200 del livello</t>
  </si>
  <si>
    <t xml:space="preserve">tara of your lightmeter (EV) · tara dello strumento (Gossen Luna with darkroom accessory: -2)</t>
  </si>
  <si>
    <t xml:space="preserve">Lowest feq · feq minima</t>
  </si>
  <si>
    <t xml:space="preserve">corr of your lightmeter, for negative readings · corr dello strumento (Gossen Luna: 1.2152; linear instrument: 1)</t>
  </si>
  <si>
    <t xml:space="preserve">Highest feq · feq massima</t>
  </si>
  <si>
    <t xml:space="preserve">EV200 read at the centre of the beam, at the level you expose · EV200 letto al centro del fascio</t>
  </si>
  <si>
    <t xml:space="preserve">Number of strips (per sheet section) · numero di strisce</t>
  </si>
  <si>
    <t xml:space="preserve">Stops closed after the reading (0 = you read at the level you expose) · stop chiusi dopo la lettura</t>
  </si>
  <si>
    <t xml:space="preserve">First time (s) · primo tempo</t>
  </si>
  <si>
    <t xml:space="preserve">ΔEV = correction for the sensor height (computed) · correzione calcolata</t>
  </si>
  <si>
    <t xml:space="preserve">Last time (s) · ultimo tempo</t>
  </si>
  <si>
    <t xml:space="preserve">Reading converted: (reading × corr if negative) + tara (computed) · lettura convertita</t>
  </si>
  <si>
    <t xml:space="preserve">Consecutive seconds at the start · secondi consecutivi iniziali</t>
  </si>
  <si>
    <t xml:space="preserve">EV200 at the reading, corrected scale (computed) · EV200 alla lettura, scala corretta</t>
  </si>
  <si>
    <t xml:space="preserve">b = last consecutive second</t>
  </si>
  <si>
    <t xml:space="preserve">Reading to aim for on your lightmeter: EV200 = -2 after the stops (computed) · lettura da puntare</t>
  </si>
  <si>
    <t xml:space="preserve">ρ = ratio of the geometric part</t>
  </si>
  <si>
    <t xml:space="preserve">Strips (computed) · strisce</t>
  </si>
  <si>
    <t xml:space="preserve">EV200</t>
  </si>
  <si>
    <t xml:space="preserve">T (s)</t>
  </si>
  <si>
    <t xml:space="preserve">Grade 0</t>
  </si>
  <si>
    <t xml:space="preserve">Grade 1</t>
  </si>
  <si>
    <t xml:space="preserve">Grade 2</t>
  </si>
  <si>
    <t xml:space="preserve">Grade 3</t>
  </si>
  <si>
    <t xml:space="preserve">Grade 4</t>
  </si>
  <si>
    <t xml:space="preserve">Grade 5</t>
  </si>
  <si>
    <t xml:space="preserve">feq (computed)</t>
  </si>
  <si>
    <t xml:space="preserve">k</t>
  </si>
  <si>
    <t xml:space="preserve">Extra exposure (s)</t>
  </si>
  <si>
    <t xml:space="preserve">feq</t>
  </si>
  <si>
    <t xml:space="preserve">m</t>
  </si>
  <si>
    <t xml:space="preserve">b</t>
  </si>
  <si>
    <t xml:space="preserve">ρ</t>
  </si>
  <si>
    <t xml:space="preserve">ok</t>
  </si>
  <si>
    <t xml:space="preserve">Paper profiling sheet · Foglio di profilatura della carta – PLAN B – three light levels from one reading</t>
  </si>
  <si>
    <t xml:space="preserve">Sheet section 1 · 4 stops closed · sezione di foglio 1</t>
  </si>
  <si>
    <t xml:space="preserve">Sheet section 2 · 2 stops closed · sezione di foglio 2</t>
  </si>
  <si>
    <t xml:space="preserve">Sheet section 3 · widest aperture (reference) · sezione di foglio 3, tutta apertura</t>
  </si>
  <si>
    <t xml:space="preserve">EV200 read at the centre of the beam, lens at its WIDEST aperture · EV200 letto al centro, lente tutta aperta</t>
  </si>
  <si>
    <t xml:space="preserve">(not used in plan B: the stops of each sheet section are set in the blocks on the right)</t>
  </si>
  <si>
    <t xml:space="preserve">Reading to aim for on your lightmeter: EV200 = +2 at the widest aperture (computed) · lettura da puntare</t>
  </si>
  <si>
    <t xml:space="preserve">Stops closed</t>
  </si>
  <si>
    <t xml:space="preserve">Paper profiling sheet · Foglio di profilatura della carta – PLAN A – one light level – EXAMPLE: Bergger Prestige Variable CB Style (author's measurements)</t>
  </si>
</sst>
</file>

<file path=xl/styles.xml><?xml version="1.0" encoding="utf-8"?>
<styleSheet xmlns="http://schemas.openxmlformats.org/spreadsheetml/2006/main">
  <numFmts count="7">
    <numFmt numFmtId="164" formatCode="General"/>
    <numFmt numFmtId="165" formatCode="0.0"/>
    <numFmt numFmtId="166" formatCode="0.00"/>
    <numFmt numFmtId="167" formatCode="0"/>
    <numFmt numFmtId="168" formatCode="0.000"/>
    <numFmt numFmtId="169" formatCode="0.0000"/>
    <numFmt numFmtId="170" formatCode="0.000;\-0.000;;"/>
  </numFmts>
  <fonts count="20">
    <font>
      <sz val="11"/>
      <color theme="1"/>
      <name val="Calibri"/>
      <family val="2"/>
      <charset val="1"/>
    </font>
    <font>
      <sz val="10"/>
      <name val="Arial"/>
      <family val="0"/>
    </font>
    <font>
      <sz val="10"/>
      <name val="Arial"/>
      <family val="0"/>
    </font>
    <font>
      <sz val="10"/>
      <name val="Arial"/>
      <family val="0"/>
    </font>
    <font>
      <b val="true"/>
      <sz val="12"/>
      <color rgb="FF000000"/>
      <name val="Arial"/>
      <family val="0"/>
      <charset val="1"/>
    </font>
    <font>
      <sz val="10"/>
      <color rgb="FF000000"/>
      <name val="Arial"/>
      <family val="0"/>
      <charset val="1"/>
    </font>
    <font>
      <b val="true"/>
      <sz val="10"/>
      <name val="Arial"/>
      <family val="0"/>
      <charset val="1"/>
    </font>
    <font>
      <b val="true"/>
      <sz val="10"/>
      <color rgb="FF0000FF"/>
      <name val="Arial"/>
      <family val="0"/>
      <charset val="1"/>
    </font>
    <font>
      <i val="true"/>
      <sz val="10"/>
      <color rgb="FF404040"/>
      <name val="Arial"/>
      <family val="0"/>
      <charset val="1"/>
    </font>
    <font>
      <b val="true"/>
      <sz val="14"/>
      <name val="Arial"/>
      <family val="0"/>
      <charset val="1"/>
    </font>
    <font>
      <i val="true"/>
      <sz val="10"/>
      <color rgb="FF595959"/>
      <name val="Arial"/>
      <family val="0"/>
      <charset val="1"/>
    </font>
    <font>
      <sz val="10"/>
      <name val="Arial"/>
      <family val="0"/>
      <charset val="1"/>
    </font>
    <font>
      <sz val="9"/>
      <name val="Arial"/>
      <family val="0"/>
      <charset val="1"/>
    </font>
    <font>
      <b val="true"/>
      <sz val="10"/>
      <color rgb="FFFFFFFF"/>
      <name val="Arial"/>
      <family val="0"/>
      <charset val="1"/>
    </font>
    <font>
      <sz val="10"/>
      <color rgb="FF0000FF"/>
      <name val="Arial"/>
      <family val="0"/>
      <charset val="1"/>
    </font>
    <font>
      <sz val="9"/>
      <color rgb="FF7F7F7F"/>
      <name val="Arial"/>
      <family val="0"/>
      <charset val="1"/>
    </font>
    <font>
      <sz val="10"/>
      <name val="Arial"/>
      <family val="2"/>
    </font>
    <font>
      <b val="true"/>
      <sz val="18"/>
      <color rgb="FF000000"/>
      <name val="Calibri"/>
      <family val="2"/>
    </font>
    <font>
      <sz val="10"/>
      <color rgb="FF000000"/>
      <name val="Calibri"/>
      <family val="2"/>
    </font>
    <font>
      <b val="true"/>
      <sz val="10"/>
      <color rgb="FF000000"/>
      <name val="Calibri"/>
      <family val="2"/>
    </font>
  </fonts>
  <fills count="9">
    <fill>
      <patternFill patternType="none"/>
    </fill>
    <fill>
      <patternFill patternType="gray125"/>
    </fill>
    <fill>
      <patternFill patternType="solid">
        <fgColor rgb="FFD9D9D9"/>
        <bgColor rgb="FFE7E6E6"/>
      </patternFill>
    </fill>
    <fill>
      <patternFill patternType="solid">
        <fgColor rgb="FFE2EFDA"/>
        <bgColor rgb="FFE7E6E6"/>
      </patternFill>
    </fill>
    <fill>
      <patternFill patternType="solid">
        <fgColor rgb="FFFFFFCC"/>
        <bgColor rgb="FFFFFFFF"/>
      </patternFill>
    </fill>
    <fill>
      <patternFill patternType="solid">
        <fgColor rgb="FFFFFF00"/>
        <bgColor rgb="FFFFFF00"/>
      </patternFill>
    </fill>
    <fill>
      <patternFill patternType="solid">
        <fgColor rgb="FFE7E6E6"/>
        <bgColor rgb="FFE2EFDA"/>
      </patternFill>
    </fill>
    <fill>
      <patternFill patternType="solid">
        <fgColor rgb="FF404040"/>
        <bgColor rgb="FF333300"/>
      </patternFill>
    </fill>
    <fill>
      <patternFill patternType="solid">
        <fgColor rgb="FF7F7F7F"/>
        <bgColor rgb="FF878787"/>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7" fillId="4"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6" borderId="1" xfId="0" applyFont="true" applyBorder="true" applyAlignment="true" applyProtection="false">
      <alignment horizontal="center" vertical="center" textRotation="0" wrapText="false" indent="0" shrinkToFit="false"/>
      <protection locked="true" hidden="false"/>
    </xf>
    <xf numFmtId="166" fontId="11" fillId="6" borderId="1" xfId="0" applyFont="true" applyBorder="true" applyAlignment="true" applyProtection="false">
      <alignment horizontal="center" vertical="center" textRotation="0" wrapText="false" indent="0" shrinkToFit="false"/>
      <protection locked="true" hidden="false"/>
    </xf>
    <xf numFmtId="167" fontId="6" fillId="6" borderId="1" xfId="0" applyFont="true" applyBorder="true" applyAlignment="true" applyProtection="false">
      <alignment horizontal="center" vertical="center" textRotation="0" wrapText="false" indent="0" shrinkToFit="false"/>
      <protection locked="true" hidden="false"/>
    </xf>
    <xf numFmtId="168" fontId="6" fillId="6" borderId="1" xfId="0" applyFont="true" applyBorder="true" applyAlignment="true" applyProtection="false">
      <alignment horizontal="center"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6" fillId="6" borderId="1" xfId="0" applyFont="true" applyBorder="true" applyAlignment="true" applyProtection="false">
      <alignment horizontal="center" vertical="center" textRotation="0" wrapText="false" indent="0" shrinkToFit="false"/>
      <protection locked="true" hidden="false"/>
    </xf>
    <xf numFmtId="169" fontId="6" fillId="6" borderId="1" xfId="0" applyFont="true" applyBorder="true" applyAlignment="true" applyProtection="false">
      <alignment horizontal="center" vertical="center" textRotation="0" wrapText="false" indent="0" shrinkToFit="false"/>
      <protection locked="true" hidden="false"/>
    </xf>
    <xf numFmtId="164" fontId="13" fillId="7" borderId="1" xfId="0" applyFont="true" applyBorder="true" applyAlignment="true" applyProtection="false">
      <alignment horizontal="center" vertical="center" textRotation="0" wrapText="true" indent="0" shrinkToFit="false"/>
      <protection locked="true" hidden="false"/>
    </xf>
    <xf numFmtId="164" fontId="13" fillId="8" borderId="1" xfId="0" applyFont="true" applyBorder="true" applyAlignment="true" applyProtection="false">
      <alignment horizontal="center" vertical="center" textRotation="0" wrapText="false" indent="0" shrinkToFit="false"/>
      <protection locked="true" hidden="false"/>
    </xf>
    <xf numFmtId="167" fontId="14" fillId="4" borderId="1" xfId="0" applyFont="true" applyBorder="true" applyAlignment="true" applyProtection="false">
      <alignment horizontal="center" vertical="center" textRotation="0" wrapText="false" indent="0" shrinkToFit="false"/>
      <protection locked="true" hidden="false"/>
    </xf>
    <xf numFmtId="164" fontId="14" fillId="4" borderId="1" xfId="0" applyFont="true" applyBorder="true" applyAlignment="true" applyProtection="false">
      <alignment horizontal="center" vertical="center" textRotation="0" wrapText="false" indent="0" shrinkToFit="false"/>
      <protection locked="true" hidden="false"/>
    </xf>
    <xf numFmtId="170" fontId="11" fillId="6" borderId="1" xfId="0" applyFont="true" applyBorder="true" applyAlignment="true" applyProtection="false">
      <alignment horizontal="center" vertical="center" textRotation="0" wrapText="false" indent="0" shrinkToFit="false"/>
      <protection locked="true" hidden="false"/>
    </xf>
    <xf numFmtId="167" fontId="11" fillId="6" borderId="1" xfId="0" applyFont="true" applyBorder="true" applyAlignment="true" applyProtection="false">
      <alignment horizontal="center" vertical="center" textRotation="0" wrapText="false" indent="0" shrinkToFit="false"/>
      <protection locked="true" hidden="false"/>
    </xf>
    <xf numFmtId="167" fontId="15" fillId="0" borderId="1" xfId="0" applyFont="true" applyBorder="true" applyAlignment="true" applyProtection="false">
      <alignment horizontal="center" vertical="center" textRotation="0" wrapText="false" indent="0" shrinkToFit="false"/>
      <protection locked="true" hidden="false"/>
    </xf>
    <xf numFmtId="169" fontId="15" fillId="0" borderId="1" xfId="0" applyFont="true" applyBorder="true" applyAlignment="true" applyProtection="false">
      <alignment horizontal="center" vertical="center" textRotation="0" wrapText="false" indent="0" shrinkToFit="false"/>
      <protection locked="true" hidden="false"/>
    </xf>
    <xf numFmtId="165" fontId="7" fillId="5" borderId="1"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08080"/>
      <rgbColor rgb="FFA6A6A6"/>
      <rgbColor rgb="FF7F7F7F"/>
      <rgbColor rgb="FF9999FF"/>
      <rgbColor rgb="FF7030A0"/>
      <rgbColor rgb="FFFFFFCC"/>
      <rgbColor rgb="FFE7E6E6"/>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2E75B6"/>
      <rgbColor rgb="FF33CCCC"/>
      <rgbColor rgb="FF99CC00"/>
      <rgbColor rgb="FFFFCC00"/>
      <rgbColor rgb="FFFF9900"/>
      <rgbColor rgb="FFED7D31"/>
      <rgbColor rgb="FF595959"/>
      <rgbColor rgb="FF878787"/>
      <rgbColor rgb="FF003366"/>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Gray level vs feq</a:t>
            </a:r>
          </a:p>
        </c:rich>
      </c:tx>
      <c:overlay val="0"/>
      <c:spPr>
        <a:noFill/>
        <a:ln w="0">
          <a:noFill/>
        </a:ln>
      </c:spPr>
    </c:title>
    <c:autoTitleDeleted val="0"/>
    <c:plotArea>
      <c:scatterChart>
        <c:scatterStyle val="lineMarker"/>
        <c:varyColors val="0"/>
        <c:ser>
          <c:idx val="0"/>
          <c:order val="0"/>
          <c:tx>
            <c:strRef>
              <c:f>'Plan A'!C14</c:f>
              <c:strCache>
                <c:ptCount val="1"/>
                <c:pt idx="0">
                  <c:v>Grade 0</c:v>
                </c:pt>
              </c:strCache>
            </c:strRef>
          </c:tx>
          <c:spPr>
            <a:solidFill>
              <a:srgbClr val="000000"/>
            </a:solidFill>
            <a:ln w="47520">
              <a:noFill/>
            </a:ln>
          </c:spPr>
          <c:marker>
            <c:symbol val="circle"/>
            <c:size val="6"/>
            <c:spPr>
              <a:solidFill>
                <a:srgbClr val="00000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A'!$I$15:$I$94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1.87082869338697</c:v>
                </c:pt>
                <c:pt idx="13">
                  <c:v>1.93649167310371</c:v>
                </c:pt>
                <c:pt idx="14">
                  <c:v>2.06155281280883</c:v>
                </c:pt>
                <c:pt idx="15">
                  <c:v>2.17944947177034</c:v>
                </c:pt>
                <c:pt idx="16">
                  <c:v>2.29128784747792</c:v>
                </c:pt>
                <c:pt idx="17">
                  <c:v>2.44948974278318</c:v>
                </c:pt>
                <c:pt idx="18">
                  <c:v>2.59807621135332</c:v>
                </c:pt>
                <c:pt idx="19">
                  <c:v>2.73861278752583</c:v>
                </c:pt>
                <c:pt idx="20">
                  <c:v>2.87228132326901</c:v>
                </c:pt>
                <c:pt idx="21">
                  <c:v>3.04138126514911</c:v>
                </c:pt>
                <c:pt idx="22">
                  <c:v>3.20156211871642</c:v>
                </c:pt>
                <c:pt idx="23">
                  <c:v>3.35410196624968</c:v>
                </c:pt>
                <c:pt idx="24">
                  <c:v>3.57071421427143</c:v>
                </c:pt>
                <c:pt idx="25">
                  <c:v>3.74165738677394</c:v>
                </c:pt>
                <c:pt idx="26">
                  <c:v>3.96862696659689</c:v>
                </c:pt>
                <c:pt idx="27">
                  <c:v>4.18330013267038</c:v>
                </c:pt>
                <c:pt idx="28">
                  <c:v>4.41588043316392</c:v>
                </c:pt>
                <c:pt idx="29">
                  <c:v>4.66368952654441</c:v>
                </c:pt>
                <c:pt idx="30">
                  <c:v>4.92442890089805</c:v>
                </c:pt>
                <c:pt idx="31">
                  <c:v>5.19615242270663</c:v>
                </c:pt>
                <c:pt idx="32">
                  <c:v>5.47722557505166</c:v>
                </c:pt>
                <c:pt idx="33">
                  <c:v>5.78791845139511</c:v>
                </c:pt>
                <c:pt idx="34">
                  <c:v>6.10327780786685</c:v>
                </c:pt>
                <c:pt idx="35">
                  <c:v>6.44204936336256</c:v>
                </c:pt>
                <c:pt idx="36">
                  <c:v>6.80073525436772</c:v>
                </c:pt>
                <c:pt idx="37">
                  <c:v>7.17635004720366</c:v>
                </c:pt>
                <c:pt idx="38">
                  <c:v>7.58287544405155</c:v>
                </c:pt>
                <c:pt idx="39">
                  <c:v>8</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A'!$C$15:$C$94</c:f>
              <c:numCache>
                <c:formatCode>General</c:formatCode>
                <c:ptCount val="80"/>
              </c:numCache>
            </c:numRef>
          </c:yVal>
          <c:smooth val="1"/>
        </c:ser>
        <c:ser>
          <c:idx val="1"/>
          <c:order val="1"/>
          <c:tx>
            <c:strRef>
              <c:f>'Plan A'!D14</c:f>
              <c:strCache>
                <c:ptCount val="1"/>
                <c:pt idx="0">
                  <c:v>Grade 1</c:v>
                </c:pt>
              </c:strCache>
            </c:strRef>
          </c:tx>
          <c:spPr>
            <a:solidFill>
              <a:srgbClr val="c00000"/>
            </a:solidFill>
            <a:ln w="47520">
              <a:noFill/>
            </a:ln>
          </c:spPr>
          <c:marker>
            <c:symbol val="circle"/>
            <c:size val="6"/>
            <c:spPr>
              <a:solidFill>
                <a:srgbClr val="c0000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A'!$I$15:$I$94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1.87082869338697</c:v>
                </c:pt>
                <c:pt idx="13">
                  <c:v>1.93649167310371</c:v>
                </c:pt>
                <c:pt idx="14">
                  <c:v>2.06155281280883</c:v>
                </c:pt>
                <c:pt idx="15">
                  <c:v>2.17944947177034</c:v>
                </c:pt>
                <c:pt idx="16">
                  <c:v>2.29128784747792</c:v>
                </c:pt>
                <c:pt idx="17">
                  <c:v>2.44948974278318</c:v>
                </c:pt>
                <c:pt idx="18">
                  <c:v>2.59807621135332</c:v>
                </c:pt>
                <c:pt idx="19">
                  <c:v>2.73861278752583</c:v>
                </c:pt>
                <c:pt idx="20">
                  <c:v>2.87228132326901</c:v>
                </c:pt>
                <c:pt idx="21">
                  <c:v>3.04138126514911</c:v>
                </c:pt>
                <c:pt idx="22">
                  <c:v>3.20156211871642</c:v>
                </c:pt>
                <c:pt idx="23">
                  <c:v>3.35410196624968</c:v>
                </c:pt>
                <c:pt idx="24">
                  <c:v>3.57071421427143</c:v>
                </c:pt>
                <c:pt idx="25">
                  <c:v>3.74165738677394</c:v>
                </c:pt>
                <c:pt idx="26">
                  <c:v>3.96862696659689</c:v>
                </c:pt>
                <c:pt idx="27">
                  <c:v>4.18330013267038</c:v>
                </c:pt>
                <c:pt idx="28">
                  <c:v>4.41588043316392</c:v>
                </c:pt>
                <c:pt idx="29">
                  <c:v>4.66368952654441</c:v>
                </c:pt>
                <c:pt idx="30">
                  <c:v>4.92442890089805</c:v>
                </c:pt>
                <c:pt idx="31">
                  <c:v>5.19615242270663</c:v>
                </c:pt>
                <c:pt idx="32">
                  <c:v>5.47722557505166</c:v>
                </c:pt>
                <c:pt idx="33">
                  <c:v>5.78791845139511</c:v>
                </c:pt>
                <c:pt idx="34">
                  <c:v>6.10327780786685</c:v>
                </c:pt>
                <c:pt idx="35">
                  <c:v>6.44204936336256</c:v>
                </c:pt>
                <c:pt idx="36">
                  <c:v>6.80073525436772</c:v>
                </c:pt>
                <c:pt idx="37">
                  <c:v>7.17635004720366</c:v>
                </c:pt>
                <c:pt idx="38">
                  <c:v>7.58287544405155</c:v>
                </c:pt>
                <c:pt idx="39">
                  <c:v>8</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A'!$D$15:$D$94</c:f>
              <c:numCache>
                <c:formatCode>General</c:formatCode>
                <c:ptCount val="80"/>
              </c:numCache>
            </c:numRef>
          </c:yVal>
          <c:smooth val="1"/>
        </c:ser>
        <c:ser>
          <c:idx val="2"/>
          <c:order val="2"/>
          <c:tx>
            <c:strRef>
              <c:f>'Plan A'!E14</c:f>
              <c:strCache>
                <c:ptCount val="1"/>
                <c:pt idx="0">
                  <c:v>Grade 2</c:v>
                </c:pt>
              </c:strCache>
            </c:strRef>
          </c:tx>
          <c:spPr>
            <a:solidFill>
              <a:srgbClr val="ed7d31"/>
            </a:solidFill>
            <a:ln w="47520">
              <a:noFill/>
            </a:ln>
          </c:spPr>
          <c:marker>
            <c:symbol val="circle"/>
            <c:size val="6"/>
            <c:spPr>
              <a:solidFill>
                <a:srgbClr val="ed7d31"/>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A'!$I$15:$I$94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1.87082869338697</c:v>
                </c:pt>
                <c:pt idx="13">
                  <c:v>1.93649167310371</c:v>
                </c:pt>
                <c:pt idx="14">
                  <c:v>2.06155281280883</c:v>
                </c:pt>
                <c:pt idx="15">
                  <c:v>2.17944947177034</c:v>
                </c:pt>
                <c:pt idx="16">
                  <c:v>2.29128784747792</c:v>
                </c:pt>
                <c:pt idx="17">
                  <c:v>2.44948974278318</c:v>
                </c:pt>
                <c:pt idx="18">
                  <c:v>2.59807621135332</c:v>
                </c:pt>
                <c:pt idx="19">
                  <c:v>2.73861278752583</c:v>
                </c:pt>
                <c:pt idx="20">
                  <c:v>2.87228132326901</c:v>
                </c:pt>
                <c:pt idx="21">
                  <c:v>3.04138126514911</c:v>
                </c:pt>
                <c:pt idx="22">
                  <c:v>3.20156211871642</c:v>
                </c:pt>
                <c:pt idx="23">
                  <c:v>3.35410196624968</c:v>
                </c:pt>
                <c:pt idx="24">
                  <c:v>3.57071421427143</c:v>
                </c:pt>
                <c:pt idx="25">
                  <c:v>3.74165738677394</c:v>
                </c:pt>
                <c:pt idx="26">
                  <c:v>3.96862696659689</c:v>
                </c:pt>
                <c:pt idx="27">
                  <c:v>4.18330013267038</c:v>
                </c:pt>
                <c:pt idx="28">
                  <c:v>4.41588043316392</c:v>
                </c:pt>
                <c:pt idx="29">
                  <c:v>4.66368952654441</c:v>
                </c:pt>
                <c:pt idx="30">
                  <c:v>4.92442890089805</c:v>
                </c:pt>
                <c:pt idx="31">
                  <c:v>5.19615242270663</c:v>
                </c:pt>
                <c:pt idx="32">
                  <c:v>5.47722557505166</c:v>
                </c:pt>
                <c:pt idx="33">
                  <c:v>5.78791845139511</c:v>
                </c:pt>
                <c:pt idx="34">
                  <c:v>6.10327780786685</c:v>
                </c:pt>
                <c:pt idx="35">
                  <c:v>6.44204936336256</c:v>
                </c:pt>
                <c:pt idx="36">
                  <c:v>6.80073525436772</c:v>
                </c:pt>
                <c:pt idx="37">
                  <c:v>7.17635004720366</c:v>
                </c:pt>
                <c:pt idx="38">
                  <c:v>7.58287544405155</c:v>
                </c:pt>
                <c:pt idx="39">
                  <c:v>8</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A'!$E$15:$E$94</c:f>
              <c:numCache>
                <c:formatCode>General</c:formatCode>
                <c:ptCount val="80"/>
              </c:numCache>
            </c:numRef>
          </c:yVal>
          <c:smooth val="1"/>
        </c:ser>
        <c:ser>
          <c:idx val="3"/>
          <c:order val="3"/>
          <c:tx>
            <c:strRef>
              <c:f>'Plan A'!F14</c:f>
              <c:strCache>
                <c:ptCount val="1"/>
                <c:pt idx="0">
                  <c:v>Grade 3</c:v>
                </c:pt>
              </c:strCache>
            </c:strRef>
          </c:tx>
          <c:spPr>
            <a:solidFill>
              <a:srgbClr val="2e75b6"/>
            </a:solidFill>
            <a:ln w="47520">
              <a:noFill/>
            </a:ln>
          </c:spPr>
          <c:marker>
            <c:symbol val="circle"/>
            <c:size val="6"/>
            <c:spPr>
              <a:solidFill>
                <a:srgbClr val="2e75b6"/>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A'!$I$15:$I$94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1.87082869338697</c:v>
                </c:pt>
                <c:pt idx="13">
                  <c:v>1.93649167310371</c:v>
                </c:pt>
                <c:pt idx="14">
                  <c:v>2.06155281280883</c:v>
                </c:pt>
                <c:pt idx="15">
                  <c:v>2.17944947177034</c:v>
                </c:pt>
                <c:pt idx="16">
                  <c:v>2.29128784747792</c:v>
                </c:pt>
                <c:pt idx="17">
                  <c:v>2.44948974278318</c:v>
                </c:pt>
                <c:pt idx="18">
                  <c:v>2.59807621135332</c:v>
                </c:pt>
                <c:pt idx="19">
                  <c:v>2.73861278752583</c:v>
                </c:pt>
                <c:pt idx="20">
                  <c:v>2.87228132326901</c:v>
                </c:pt>
                <c:pt idx="21">
                  <c:v>3.04138126514911</c:v>
                </c:pt>
                <c:pt idx="22">
                  <c:v>3.20156211871642</c:v>
                </c:pt>
                <c:pt idx="23">
                  <c:v>3.35410196624968</c:v>
                </c:pt>
                <c:pt idx="24">
                  <c:v>3.57071421427143</c:v>
                </c:pt>
                <c:pt idx="25">
                  <c:v>3.74165738677394</c:v>
                </c:pt>
                <c:pt idx="26">
                  <c:v>3.96862696659689</c:v>
                </c:pt>
                <c:pt idx="27">
                  <c:v>4.18330013267038</c:v>
                </c:pt>
                <c:pt idx="28">
                  <c:v>4.41588043316392</c:v>
                </c:pt>
                <c:pt idx="29">
                  <c:v>4.66368952654441</c:v>
                </c:pt>
                <c:pt idx="30">
                  <c:v>4.92442890089805</c:v>
                </c:pt>
                <c:pt idx="31">
                  <c:v>5.19615242270663</c:v>
                </c:pt>
                <c:pt idx="32">
                  <c:v>5.47722557505166</c:v>
                </c:pt>
                <c:pt idx="33">
                  <c:v>5.78791845139511</c:v>
                </c:pt>
                <c:pt idx="34">
                  <c:v>6.10327780786685</c:v>
                </c:pt>
                <c:pt idx="35">
                  <c:v>6.44204936336256</c:v>
                </c:pt>
                <c:pt idx="36">
                  <c:v>6.80073525436772</c:v>
                </c:pt>
                <c:pt idx="37">
                  <c:v>7.17635004720366</c:v>
                </c:pt>
                <c:pt idx="38">
                  <c:v>7.58287544405155</c:v>
                </c:pt>
                <c:pt idx="39">
                  <c:v>8</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A'!$F$15:$F$94</c:f>
              <c:numCache>
                <c:formatCode>General</c:formatCode>
                <c:ptCount val="80"/>
              </c:numCache>
            </c:numRef>
          </c:yVal>
          <c:smooth val="1"/>
        </c:ser>
        <c:ser>
          <c:idx val="4"/>
          <c:order val="4"/>
          <c:tx>
            <c:strRef>
              <c:f>'Plan A'!G14</c:f>
              <c:strCache>
                <c:ptCount val="1"/>
                <c:pt idx="0">
                  <c:v>Grade 4</c:v>
                </c:pt>
              </c:strCache>
            </c:strRef>
          </c:tx>
          <c:spPr>
            <a:solidFill>
              <a:srgbClr val="548235"/>
            </a:solidFill>
            <a:ln w="47520">
              <a:noFill/>
            </a:ln>
          </c:spPr>
          <c:marker>
            <c:symbol val="circle"/>
            <c:size val="6"/>
            <c:spPr>
              <a:solidFill>
                <a:srgbClr val="54823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A'!$I$15:$I$94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1.87082869338697</c:v>
                </c:pt>
                <c:pt idx="13">
                  <c:v>1.93649167310371</c:v>
                </c:pt>
                <c:pt idx="14">
                  <c:v>2.06155281280883</c:v>
                </c:pt>
                <c:pt idx="15">
                  <c:v>2.17944947177034</c:v>
                </c:pt>
                <c:pt idx="16">
                  <c:v>2.29128784747792</c:v>
                </c:pt>
                <c:pt idx="17">
                  <c:v>2.44948974278318</c:v>
                </c:pt>
                <c:pt idx="18">
                  <c:v>2.59807621135332</c:v>
                </c:pt>
                <c:pt idx="19">
                  <c:v>2.73861278752583</c:v>
                </c:pt>
                <c:pt idx="20">
                  <c:v>2.87228132326901</c:v>
                </c:pt>
                <c:pt idx="21">
                  <c:v>3.04138126514911</c:v>
                </c:pt>
                <c:pt idx="22">
                  <c:v>3.20156211871642</c:v>
                </c:pt>
                <c:pt idx="23">
                  <c:v>3.35410196624968</c:v>
                </c:pt>
                <c:pt idx="24">
                  <c:v>3.57071421427143</c:v>
                </c:pt>
                <c:pt idx="25">
                  <c:v>3.74165738677394</c:v>
                </c:pt>
                <c:pt idx="26">
                  <c:v>3.96862696659689</c:v>
                </c:pt>
                <c:pt idx="27">
                  <c:v>4.18330013267038</c:v>
                </c:pt>
                <c:pt idx="28">
                  <c:v>4.41588043316392</c:v>
                </c:pt>
                <c:pt idx="29">
                  <c:v>4.66368952654441</c:v>
                </c:pt>
                <c:pt idx="30">
                  <c:v>4.92442890089805</c:v>
                </c:pt>
                <c:pt idx="31">
                  <c:v>5.19615242270663</c:v>
                </c:pt>
                <c:pt idx="32">
                  <c:v>5.47722557505166</c:v>
                </c:pt>
                <c:pt idx="33">
                  <c:v>5.78791845139511</c:v>
                </c:pt>
                <c:pt idx="34">
                  <c:v>6.10327780786685</c:v>
                </c:pt>
                <c:pt idx="35">
                  <c:v>6.44204936336256</c:v>
                </c:pt>
                <c:pt idx="36">
                  <c:v>6.80073525436772</c:v>
                </c:pt>
                <c:pt idx="37">
                  <c:v>7.17635004720366</c:v>
                </c:pt>
                <c:pt idx="38">
                  <c:v>7.58287544405155</c:v>
                </c:pt>
                <c:pt idx="39">
                  <c:v>8</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A'!$G$15:$G$94</c:f>
              <c:numCache>
                <c:formatCode>General</c:formatCode>
                <c:ptCount val="80"/>
              </c:numCache>
            </c:numRef>
          </c:yVal>
          <c:smooth val="1"/>
        </c:ser>
        <c:ser>
          <c:idx val="5"/>
          <c:order val="5"/>
          <c:tx>
            <c:strRef>
              <c:f>'Plan A'!H14</c:f>
              <c:strCache>
                <c:ptCount val="1"/>
                <c:pt idx="0">
                  <c:v>Grade 5</c:v>
                </c:pt>
              </c:strCache>
            </c:strRef>
          </c:tx>
          <c:spPr>
            <a:solidFill>
              <a:srgbClr val="7030a0"/>
            </a:solidFill>
            <a:ln w="47520">
              <a:noFill/>
            </a:ln>
          </c:spPr>
          <c:marker>
            <c:symbol val="circle"/>
            <c:size val="6"/>
            <c:spPr>
              <a:solidFill>
                <a:srgbClr val="7030a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A'!$I$15:$I$94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1.87082869338697</c:v>
                </c:pt>
                <c:pt idx="13">
                  <c:v>1.93649167310371</c:v>
                </c:pt>
                <c:pt idx="14">
                  <c:v>2.06155281280883</c:v>
                </c:pt>
                <c:pt idx="15">
                  <c:v>2.17944947177034</c:v>
                </c:pt>
                <c:pt idx="16">
                  <c:v>2.29128784747792</c:v>
                </c:pt>
                <c:pt idx="17">
                  <c:v>2.44948974278318</c:v>
                </c:pt>
                <c:pt idx="18">
                  <c:v>2.59807621135332</c:v>
                </c:pt>
                <c:pt idx="19">
                  <c:v>2.73861278752583</c:v>
                </c:pt>
                <c:pt idx="20">
                  <c:v>2.87228132326901</c:v>
                </c:pt>
                <c:pt idx="21">
                  <c:v>3.04138126514911</c:v>
                </c:pt>
                <c:pt idx="22">
                  <c:v>3.20156211871642</c:v>
                </c:pt>
                <c:pt idx="23">
                  <c:v>3.35410196624968</c:v>
                </c:pt>
                <c:pt idx="24">
                  <c:v>3.57071421427143</c:v>
                </c:pt>
                <c:pt idx="25">
                  <c:v>3.74165738677394</c:v>
                </c:pt>
                <c:pt idx="26">
                  <c:v>3.96862696659689</c:v>
                </c:pt>
                <c:pt idx="27">
                  <c:v>4.18330013267038</c:v>
                </c:pt>
                <c:pt idx="28">
                  <c:v>4.41588043316392</c:v>
                </c:pt>
                <c:pt idx="29">
                  <c:v>4.66368952654441</c:v>
                </c:pt>
                <c:pt idx="30">
                  <c:v>4.92442890089805</c:v>
                </c:pt>
                <c:pt idx="31">
                  <c:v>5.19615242270663</c:v>
                </c:pt>
                <c:pt idx="32">
                  <c:v>5.47722557505166</c:v>
                </c:pt>
                <c:pt idx="33">
                  <c:v>5.78791845139511</c:v>
                </c:pt>
                <c:pt idx="34">
                  <c:v>6.10327780786685</c:v>
                </c:pt>
                <c:pt idx="35">
                  <c:v>6.44204936336256</c:v>
                </c:pt>
                <c:pt idx="36">
                  <c:v>6.80073525436772</c:v>
                </c:pt>
                <c:pt idx="37">
                  <c:v>7.17635004720366</c:v>
                </c:pt>
                <c:pt idx="38">
                  <c:v>7.58287544405155</c:v>
                </c:pt>
                <c:pt idx="39">
                  <c:v>8</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A'!$H$15:$H$94</c:f>
              <c:numCache>
                <c:formatCode>General</c:formatCode>
                <c:ptCount val="80"/>
              </c:numCache>
            </c:numRef>
          </c:yVal>
          <c:smooth val="1"/>
        </c:ser>
        <c:axId val="85093817"/>
        <c:axId val="65390835"/>
      </c:scatterChart>
      <c:valAx>
        <c:axId val="85093817"/>
        <c:scaling>
          <c:orientation val="minMax"/>
          <c:min val="0"/>
        </c:scaling>
        <c:delete val="0"/>
        <c:axPos val="b"/>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feq = √(T·2^EV200)</a:t>
                </a:r>
              </a:p>
            </c:rich>
          </c:tx>
          <c:overlay val="0"/>
          <c:spPr>
            <a:noFill/>
            <a:ln w="0">
              <a:noFill/>
            </a:ln>
          </c:spPr>
        </c:title>
        <c:numFmt formatCode="0.000;\-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390835"/>
        <c:crosses val="autoZero"/>
        <c:crossBetween val="midCat"/>
      </c:valAx>
      <c:valAx>
        <c:axId val="65390835"/>
        <c:scaling>
          <c:orientation val="minMax"/>
          <c:max val="12"/>
          <c:min val="0"/>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Gray level (1=white .. 11=black)</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5093817"/>
        <c:crosses val="autoZero"/>
        <c:crossBetween val="midCat"/>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Gray level vs feq</a:t>
            </a:r>
          </a:p>
        </c:rich>
      </c:tx>
      <c:overlay val="0"/>
      <c:spPr>
        <a:noFill/>
        <a:ln w="0">
          <a:noFill/>
        </a:ln>
      </c:spPr>
    </c:title>
    <c:autoTitleDeleted val="0"/>
    <c:plotArea>
      <c:scatterChart>
        <c:scatterStyle val="lineMarker"/>
        <c:varyColors val="0"/>
        <c:ser>
          <c:idx val="0"/>
          <c:order val="0"/>
          <c:tx>
            <c:strRef>
              <c:f>'Plan B'!C14</c:f>
              <c:strCache>
                <c:ptCount val="1"/>
                <c:pt idx="0">
                  <c:v>Grade 0</c:v>
                </c:pt>
              </c:strCache>
            </c:strRef>
          </c:tx>
          <c:spPr>
            <a:solidFill>
              <a:srgbClr val="000000"/>
            </a:solidFill>
            <a:ln w="47520">
              <a:noFill/>
            </a:ln>
          </c:spPr>
          <c:marker>
            <c:symbol val="circle"/>
            <c:size val="6"/>
            <c:spPr>
              <a:solidFill>
                <a:srgbClr val="00000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B'!$I$15:$I$94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1.6583123951777</c:v>
                </c:pt>
                <c:pt idx="10">
                  <c:v>1.73205080756888</c:v>
                </c:pt>
                <c:pt idx="11">
                  <c:v>1.87082869338697</c:v>
                </c:pt>
                <c:pt idx="12">
                  <c:v>2</c:v>
                </c:pt>
                <c:pt idx="13">
                  <c:v>2</c:v>
                </c:pt>
                <c:pt idx="14">
                  <c:v>2.23606797749979</c:v>
                </c:pt>
                <c:pt idx="15">
                  <c:v>2.44948974278318</c:v>
                </c:pt>
                <c:pt idx="16">
                  <c:v>2.64575131106459</c:v>
                </c:pt>
                <c:pt idx="17">
                  <c:v>2.82842712474619</c:v>
                </c:pt>
                <c:pt idx="18">
                  <c:v>3</c:v>
                </c:pt>
                <c:pt idx="19">
                  <c:v>3.16227766016838</c:v>
                </c:pt>
                <c:pt idx="20">
                  <c:v>3.3166247903554</c:v>
                </c:pt>
                <c:pt idx="21">
                  <c:v>3.46410161513775</c:v>
                </c:pt>
                <c:pt idx="22">
                  <c:v>3.60555127546399</c:v>
                </c:pt>
                <c:pt idx="23">
                  <c:v>3.74165738677394</c:v>
                </c:pt>
                <c:pt idx="24">
                  <c:v>3.87298334620742</c:v>
                </c:pt>
                <c:pt idx="25">
                  <c:v>4</c:v>
                </c:pt>
                <c:pt idx="26">
                  <c:v>4</c:v>
                </c:pt>
                <c:pt idx="27">
                  <c:v>4.47213595499958</c:v>
                </c:pt>
                <c:pt idx="28">
                  <c:v>4.89897948556636</c:v>
                </c:pt>
                <c:pt idx="29">
                  <c:v>5.29150262212918</c:v>
                </c:pt>
                <c:pt idx="30">
                  <c:v>5.65685424949238</c:v>
                </c:pt>
                <c:pt idx="31">
                  <c:v>6</c:v>
                </c:pt>
                <c:pt idx="32">
                  <c:v>6.32455532033676</c:v>
                </c:pt>
                <c:pt idx="33">
                  <c:v>6.6332495807108</c:v>
                </c:pt>
                <c:pt idx="34">
                  <c:v>6.92820323027551</c:v>
                </c:pt>
                <c:pt idx="35">
                  <c:v>7.21110255092798</c:v>
                </c:pt>
                <c:pt idx="36">
                  <c:v>7.48331477354788</c:v>
                </c:pt>
                <c:pt idx="37">
                  <c:v>7.74596669241483</c:v>
                </c:pt>
                <c:pt idx="38">
                  <c:v>8</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B'!$C$15:$C$94</c:f>
              <c:numCache>
                <c:formatCode>General</c:formatCode>
                <c:ptCount val="80"/>
              </c:numCache>
            </c:numRef>
          </c:yVal>
          <c:smooth val="1"/>
        </c:ser>
        <c:ser>
          <c:idx val="1"/>
          <c:order val="1"/>
          <c:tx>
            <c:strRef>
              <c:f>'Plan B'!D14</c:f>
              <c:strCache>
                <c:ptCount val="1"/>
                <c:pt idx="0">
                  <c:v>Grade 1</c:v>
                </c:pt>
              </c:strCache>
            </c:strRef>
          </c:tx>
          <c:spPr>
            <a:solidFill>
              <a:srgbClr val="c00000"/>
            </a:solidFill>
            <a:ln w="47520">
              <a:noFill/>
            </a:ln>
          </c:spPr>
          <c:marker>
            <c:symbol val="circle"/>
            <c:size val="6"/>
            <c:spPr>
              <a:solidFill>
                <a:srgbClr val="c0000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B'!$I$15:$I$94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1.6583123951777</c:v>
                </c:pt>
                <c:pt idx="10">
                  <c:v>1.73205080756888</c:v>
                </c:pt>
                <c:pt idx="11">
                  <c:v>1.87082869338697</c:v>
                </c:pt>
                <c:pt idx="12">
                  <c:v>2</c:v>
                </c:pt>
                <c:pt idx="13">
                  <c:v>2</c:v>
                </c:pt>
                <c:pt idx="14">
                  <c:v>2.23606797749979</c:v>
                </c:pt>
                <c:pt idx="15">
                  <c:v>2.44948974278318</c:v>
                </c:pt>
                <c:pt idx="16">
                  <c:v>2.64575131106459</c:v>
                </c:pt>
                <c:pt idx="17">
                  <c:v>2.82842712474619</c:v>
                </c:pt>
                <c:pt idx="18">
                  <c:v>3</c:v>
                </c:pt>
                <c:pt idx="19">
                  <c:v>3.16227766016838</c:v>
                </c:pt>
                <c:pt idx="20">
                  <c:v>3.3166247903554</c:v>
                </c:pt>
                <c:pt idx="21">
                  <c:v>3.46410161513775</c:v>
                </c:pt>
                <c:pt idx="22">
                  <c:v>3.60555127546399</c:v>
                </c:pt>
                <c:pt idx="23">
                  <c:v>3.74165738677394</c:v>
                </c:pt>
                <c:pt idx="24">
                  <c:v>3.87298334620742</c:v>
                </c:pt>
                <c:pt idx="25">
                  <c:v>4</c:v>
                </c:pt>
                <c:pt idx="26">
                  <c:v>4</c:v>
                </c:pt>
                <c:pt idx="27">
                  <c:v>4.47213595499958</c:v>
                </c:pt>
                <c:pt idx="28">
                  <c:v>4.89897948556636</c:v>
                </c:pt>
                <c:pt idx="29">
                  <c:v>5.29150262212918</c:v>
                </c:pt>
                <c:pt idx="30">
                  <c:v>5.65685424949238</c:v>
                </c:pt>
                <c:pt idx="31">
                  <c:v>6</c:v>
                </c:pt>
                <c:pt idx="32">
                  <c:v>6.32455532033676</c:v>
                </c:pt>
                <c:pt idx="33">
                  <c:v>6.6332495807108</c:v>
                </c:pt>
                <c:pt idx="34">
                  <c:v>6.92820323027551</c:v>
                </c:pt>
                <c:pt idx="35">
                  <c:v>7.21110255092798</c:v>
                </c:pt>
                <c:pt idx="36">
                  <c:v>7.48331477354788</c:v>
                </c:pt>
                <c:pt idx="37">
                  <c:v>7.74596669241483</c:v>
                </c:pt>
                <c:pt idx="38">
                  <c:v>8</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B'!$D$15:$D$94</c:f>
              <c:numCache>
                <c:formatCode>General</c:formatCode>
                <c:ptCount val="80"/>
              </c:numCache>
            </c:numRef>
          </c:yVal>
          <c:smooth val="1"/>
        </c:ser>
        <c:ser>
          <c:idx val="2"/>
          <c:order val="2"/>
          <c:tx>
            <c:strRef>
              <c:f>'Plan B'!E14</c:f>
              <c:strCache>
                <c:ptCount val="1"/>
                <c:pt idx="0">
                  <c:v>Grade 2</c:v>
                </c:pt>
              </c:strCache>
            </c:strRef>
          </c:tx>
          <c:spPr>
            <a:solidFill>
              <a:srgbClr val="ed7d31"/>
            </a:solidFill>
            <a:ln w="47520">
              <a:noFill/>
            </a:ln>
          </c:spPr>
          <c:marker>
            <c:symbol val="circle"/>
            <c:size val="6"/>
            <c:spPr>
              <a:solidFill>
                <a:srgbClr val="ed7d31"/>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B'!$I$15:$I$94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1.6583123951777</c:v>
                </c:pt>
                <c:pt idx="10">
                  <c:v>1.73205080756888</c:v>
                </c:pt>
                <c:pt idx="11">
                  <c:v>1.87082869338697</c:v>
                </c:pt>
                <c:pt idx="12">
                  <c:v>2</c:v>
                </c:pt>
                <c:pt idx="13">
                  <c:v>2</c:v>
                </c:pt>
                <c:pt idx="14">
                  <c:v>2.23606797749979</c:v>
                </c:pt>
                <c:pt idx="15">
                  <c:v>2.44948974278318</c:v>
                </c:pt>
                <c:pt idx="16">
                  <c:v>2.64575131106459</c:v>
                </c:pt>
                <c:pt idx="17">
                  <c:v>2.82842712474619</c:v>
                </c:pt>
                <c:pt idx="18">
                  <c:v>3</c:v>
                </c:pt>
                <c:pt idx="19">
                  <c:v>3.16227766016838</c:v>
                </c:pt>
                <c:pt idx="20">
                  <c:v>3.3166247903554</c:v>
                </c:pt>
                <c:pt idx="21">
                  <c:v>3.46410161513775</c:v>
                </c:pt>
                <c:pt idx="22">
                  <c:v>3.60555127546399</c:v>
                </c:pt>
                <c:pt idx="23">
                  <c:v>3.74165738677394</c:v>
                </c:pt>
                <c:pt idx="24">
                  <c:v>3.87298334620742</c:v>
                </c:pt>
                <c:pt idx="25">
                  <c:v>4</c:v>
                </c:pt>
                <c:pt idx="26">
                  <c:v>4</c:v>
                </c:pt>
                <c:pt idx="27">
                  <c:v>4.47213595499958</c:v>
                </c:pt>
                <c:pt idx="28">
                  <c:v>4.89897948556636</c:v>
                </c:pt>
                <c:pt idx="29">
                  <c:v>5.29150262212918</c:v>
                </c:pt>
                <c:pt idx="30">
                  <c:v>5.65685424949238</c:v>
                </c:pt>
                <c:pt idx="31">
                  <c:v>6</c:v>
                </c:pt>
                <c:pt idx="32">
                  <c:v>6.32455532033676</c:v>
                </c:pt>
                <c:pt idx="33">
                  <c:v>6.6332495807108</c:v>
                </c:pt>
                <c:pt idx="34">
                  <c:v>6.92820323027551</c:v>
                </c:pt>
                <c:pt idx="35">
                  <c:v>7.21110255092798</c:v>
                </c:pt>
                <c:pt idx="36">
                  <c:v>7.48331477354788</c:v>
                </c:pt>
                <c:pt idx="37">
                  <c:v>7.74596669241483</c:v>
                </c:pt>
                <c:pt idx="38">
                  <c:v>8</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B'!$E$15:$E$94</c:f>
              <c:numCache>
                <c:formatCode>General</c:formatCode>
                <c:ptCount val="80"/>
              </c:numCache>
            </c:numRef>
          </c:yVal>
          <c:smooth val="1"/>
        </c:ser>
        <c:ser>
          <c:idx val="3"/>
          <c:order val="3"/>
          <c:tx>
            <c:strRef>
              <c:f>'Plan B'!F14</c:f>
              <c:strCache>
                <c:ptCount val="1"/>
                <c:pt idx="0">
                  <c:v>Grade 3</c:v>
                </c:pt>
              </c:strCache>
            </c:strRef>
          </c:tx>
          <c:spPr>
            <a:solidFill>
              <a:srgbClr val="2e75b6"/>
            </a:solidFill>
            <a:ln w="47520">
              <a:noFill/>
            </a:ln>
          </c:spPr>
          <c:marker>
            <c:symbol val="circle"/>
            <c:size val="6"/>
            <c:spPr>
              <a:solidFill>
                <a:srgbClr val="2e75b6"/>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B'!$I$15:$I$94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1.6583123951777</c:v>
                </c:pt>
                <c:pt idx="10">
                  <c:v>1.73205080756888</c:v>
                </c:pt>
                <c:pt idx="11">
                  <c:v>1.87082869338697</c:v>
                </c:pt>
                <c:pt idx="12">
                  <c:v>2</c:v>
                </c:pt>
                <c:pt idx="13">
                  <c:v>2</c:v>
                </c:pt>
                <c:pt idx="14">
                  <c:v>2.23606797749979</c:v>
                </c:pt>
                <c:pt idx="15">
                  <c:v>2.44948974278318</c:v>
                </c:pt>
                <c:pt idx="16">
                  <c:v>2.64575131106459</c:v>
                </c:pt>
                <c:pt idx="17">
                  <c:v>2.82842712474619</c:v>
                </c:pt>
                <c:pt idx="18">
                  <c:v>3</c:v>
                </c:pt>
                <c:pt idx="19">
                  <c:v>3.16227766016838</c:v>
                </c:pt>
                <c:pt idx="20">
                  <c:v>3.3166247903554</c:v>
                </c:pt>
                <c:pt idx="21">
                  <c:v>3.46410161513775</c:v>
                </c:pt>
                <c:pt idx="22">
                  <c:v>3.60555127546399</c:v>
                </c:pt>
                <c:pt idx="23">
                  <c:v>3.74165738677394</c:v>
                </c:pt>
                <c:pt idx="24">
                  <c:v>3.87298334620742</c:v>
                </c:pt>
                <c:pt idx="25">
                  <c:v>4</c:v>
                </c:pt>
                <c:pt idx="26">
                  <c:v>4</c:v>
                </c:pt>
                <c:pt idx="27">
                  <c:v>4.47213595499958</c:v>
                </c:pt>
                <c:pt idx="28">
                  <c:v>4.89897948556636</c:v>
                </c:pt>
                <c:pt idx="29">
                  <c:v>5.29150262212918</c:v>
                </c:pt>
                <c:pt idx="30">
                  <c:v>5.65685424949238</c:v>
                </c:pt>
                <c:pt idx="31">
                  <c:v>6</c:v>
                </c:pt>
                <c:pt idx="32">
                  <c:v>6.32455532033676</c:v>
                </c:pt>
                <c:pt idx="33">
                  <c:v>6.6332495807108</c:v>
                </c:pt>
                <c:pt idx="34">
                  <c:v>6.92820323027551</c:v>
                </c:pt>
                <c:pt idx="35">
                  <c:v>7.21110255092798</c:v>
                </c:pt>
                <c:pt idx="36">
                  <c:v>7.48331477354788</c:v>
                </c:pt>
                <c:pt idx="37">
                  <c:v>7.74596669241483</c:v>
                </c:pt>
                <c:pt idx="38">
                  <c:v>8</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B'!$F$15:$F$94</c:f>
              <c:numCache>
                <c:formatCode>General</c:formatCode>
                <c:ptCount val="80"/>
              </c:numCache>
            </c:numRef>
          </c:yVal>
          <c:smooth val="1"/>
        </c:ser>
        <c:ser>
          <c:idx val="4"/>
          <c:order val="4"/>
          <c:tx>
            <c:strRef>
              <c:f>'Plan B'!G14</c:f>
              <c:strCache>
                <c:ptCount val="1"/>
                <c:pt idx="0">
                  <c:v>Grade 4</c:v>
                </c:pt>
              </c:strCache>
            </c:strRef>
          </c:tx>
          <c:spPr>
            <a:solidFill>
              <a:srgbClr val="548235"/>
            </a:solidFill>
            <a:ln w="47520">
              <a:noFill/>
            </a:ln>
          </c:spPr>
          <c:marker>
            <c:symbol val="circle"/>
            <c:size val="6"/>
            <c:spPr>
              <a:solidFill>
                <a:srgbClr val="54823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B'!$I$15:$I$94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1.6583123951777</c:v>
                </c:pt>
                <c:pt idx="10">
                  <c:v>1.73205080756888</c:v>
                </c:pt>
                <c:pt idx="11">
                  <c:v>1.87082869338697</c:v>
                </c:pt>
                <c:pt idx="12">
                  <c:v>2</c:v>
                </c:pt>
                <c:pt idx="13">
                  <c:v>2</c:v>
                </c:pt>
                <c:pt idx="14">
                  <c:v>2.23606797749979</c:v>
                </c:pt>
                <c:pt idx="15">
                  <c:v>2.44948974278318</c:v>
                </c:pt>
                <c:pt idx="16">
                  <c:v>2.64575131106459</c:v>
                </c:pt>
                <c:pt idx="17">
                  <c:v>2.82842712474619</c:v>
                </c:pt>
                <c:pt idx="18">
                  <c:v>3</c:v>
                </c:pt>
                <c:pt idx="19">
                  <c:v>3.16227766016838</c:v>
                </c:pt>
                <c:pt idx="20">
                  <c:v>3.3166247903554</c:v>
                </c:pt>
                <c:pt idx="21">
                  <c:v>3.46410161513775</c:v>
                </c:pt>
                <c:pt idx="22">
                  <c:v>3.60555127546399</c:v>
                </c:pt>
                <c:pt idx="23">
                  <c:v>3.74165738677394</c:v>
                </c:pt>
                <c:pt idx="24">
                  <c:v>3.87298334620742</c:v>
                </c:pt>
                <c:pt idx="25">
                  <c:v>4</c:v>
                </c:pt>
                <c:pt idx="26">
                  <c:v>4</c:v>
                </c:pt>
                <c:pt idx="27">
                  <c:v>4.47213595499958</c:v>
                </c:pt>
                <c:pt idx="28">
                  <c:v>4.89897948556636</c:v>
                </c:pt>
                <c:pt idx="29">
                  <c:v>5.29150262212918</c:v>
                </c:pt>
                <c:pt idx="30">
                  <c:v>5.65685424949238</c:v>
                </c:pt>
                <c:pt idx="31">
                  <c:v>6</c:v>
                </c:pt>
                <c:pt idx="32">
                  <c:v>6.32455532033676</c:v>
                </c:pt>
                <c:pt idx="33">
                  <c:v>6.6332495807108</c:v>
                </c:pt>
                <c:pt idx="34">
                  <c:v>6.92820323027551</c:v>
                </c:pt>
                <c:pt idx="35">
                  <c:v>7.21110255092798</c:v>
                </c:pt>
                <c:pt idx="36">
                  <c:v>7.48331477354788</c:v>
                </c:pt>
                <c:pt idx="37">
                  <c:v>7.74596669241483</c:v>
                </c:pt>
                <c:pt idx="38">
                  <c:v>8</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B'!$G$15:$G$94</c:f>
              <c:numCache>
                <c:formatCode>General</c:formatCode>
                <c:ptCount val="80"/>
              </c:numCache>
            </c:numRef>
          </c:yVal>
          <c:smooth val="1"/>
        </c:ser>
        <c:ser>
          <c:idx val="5"/>
          <c:order val="5"/>
          <c:tx>
            <c:strRef>
              <c:f>'Plan B'!H14</c:f>
              <c:strCache>
                <c:ptCount val="1"/>
                <c:pt idx="0">
                  <c:v>Grade 5</c:v>
                </c:pt>
              </c:strCache>
            </c:strRef>
          </c:tx>
          <c:spPr>
            <a:solidFill>
              <a:srgbClr val="7030a0"/>
            </a:solidFill>
            <a:ln w="47520">
              <a:noFill/>
            </a:ln>
          </c:spPr>
          <c:marker>
            <c:symbol val="circle"/>
            <c:size val="6"/>
            <c:spPr>
              <a:solidFill>
                <a:srgbClr val="7030a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'Plan B'!$I$15:$I$94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1.6583123951777</c:v>
                </c:pt>
                <c:pt idx="10">
                  <c:v>1.73205080756888</c:v>
                </c:pt>
                <c:pt idx="11">
                  <c:v>1.87082869338697</c:v>
                </c:pt>
                <c:pt idx="12">
                  <c:v>2</c:v>
                </c:pt>
                <c:pt idx="13">
                  <c:v>2</c:v>
                </c:pt>
                <c:pt idx="14">
                  <c:v>2.23606797749979</c:v>
                </c:pt>
                <c:pt idx="15">
                  <c:v>2.44948974278318</c:v>
                </c:pt>
                <c:pt idx="16">
                  <c:v>2.64575131106459</c:v>
                </c:pt>
                <c:pt idx="17">
                  <c:v>2.82842712474619</c:v>
                </c:pt>
                <c:pt idx="18">
                  <c:v>3</c:v>
                </c:pt>
                <c:pt idx="19">
                  <c:v>3.16227766016838</c:v>
                </c:pt>
                <c:pt idx="20">
                  <c:v>3.3166247903554</c:v>
                </c:pt>
                <c:pt idx="21">
                  <c:v>3.46410161513775</c:v>
                </c:pt>
                <c:pt idx="22">
                  <c:v>3.60555127546399</c:v>
                </c:pt>
                <c:pt idx="23">
                  <c:v>3.74165738677394</c:v>
                </c:pt>
                <c:pt idx="24">
                  <c:v>3.87298334620742</c:v>
                </c:pt>
                <c:pt idx="25">
                  <c:v>4</c:v>
                </c:pt>
                <c:pt idx="26">
                  <c:v>4</c:v>
                </c:pt>
                <c:pt idx="27">
                  <c:v>4.47213595499958</c:v>
                </c:pt>
                <c:pt idx="28">
                  <c:v>4.89897948556636</c:v>
                </c:pt>
                <c:pt idx="29">
                  <c:v>5.29150262212918</c:v>
                </c:pt>
                <c:pt idx="30">
                  <c:v>5.65685424949238</c:v>
                </c:pt>
                <c:pt idx="31">
                  <c:v>6</c:v>
                </c:pt>
                <c:pt idx="32">
                  <c:v>6.32455532033676</c:v>
                </c:pt>
                <c:pt idx="33">
                  <c:v>6.6332495807108</c:v>
                </c:pt>
                <c:pt idx="34">
                  <c:v>6.92820323027551</c:v>
                </c:pt>
                <c:pt idx="35">
                  <c:v>7.21110255092798</c:v>
                </c:pt>
                <c:pt idx="36">
                  <c:v>7.48331477354788</c:v>
                </c:pt>
                <c:pt idx="37">
                  <c:v>7.74596669241483</c:v>
                </c:pt>
                <c:pt idx="38">
                  <c:v>8</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'Plan B'!$H$15:$H$94</c:f>
              <c:numCache>
                <c:formatCode>General</c:formatCode>
                <c:ptCount val="80"/>
              </c:numCache>
            </c:numRef>
          </c:yVal>
          <c:smooth val="1"/>
        </c:ser>
        <c:axId val="18182512"/>
        <c:axId val="10398195"/>
      </c:scatterChart>
      <c:valAx>
        <c:axId val="18182512"/>
        <c:scaling>
          <c:orientation val="minMax"/>
          <c:min val="0"/>
        </c:scaling>
        <c:delete val="0"/>
        <c:axPos val="b"/>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feq = √(T·2^EV200)</a:t>
                </a:r>
              </a:p>
            </c:rich>
          </c:tx>
          <c:overlay val="0"/>
          <c:spPr>
            <a:noFill/>
            <a:ln w="0">
              <a:noFill/>
            </a:ln>
          </c:spPr>
        </c:title>
        <c:numFmt formatCode="0.000;\-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398195"/>
        <c:crosses val="autoZero"/>
        <c:crossBetween val="midCat"/>
      </c:valAx>
      <c:valAx>
        <c:axId val="10398195"/>
        <c:scaling>
          <c:orientation val="minMax"/>
          <c:max val="12"/>
          <c:min val="0"/>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Gray level (1=white .. 11=black)</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8182512"/>
        <c:crosses val="autoZero"/>
        <c:crossBetween val="midCat"/>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Gray level vs feq</a:t>
            </a:r>
          </a:p>
        </c:rich>
      </c:tx>
      <c:overlay val="0"/>
      <c:spPr>
        <a:noFill/>
        <a:ln w="0">
          <a:noFill/>
        </a:ln>
      </c:spPr>
    </c:title>
    <c:autoTitleDeleted val="0"/>
    <c:plotArea>
      <c:scatterChart>
        <c:scatterStyle val="lineMarker"/>
        <c:varyColors val="0"/>
        <c:ser>
          <c:idx val="0"/>
          <c:order val="0"/>
          <c:tx>
            <c:strRef>
              <c:f>'Example (Bergger)'!C14</c:f>
              <c:strCache>
                <c:ptCount val="1"/>
                <c:pt idx="0">
                  <c:v>Grade 0</c:v>
                </c:pt>
              </c:strCache>
            </c:strRef>
          </c:tx>
          <c:spPr>
            <a:solidFill>
              <a:srgbClr val="000000"/>
            </a:solidFill>
            <a:ln w="47520">
              <a:noFill/>
            </a:ln>
          </c:spPr>
          <c:marker>
            <c:symbol val="circle"/>
            <c:size val="6"/>
            <c:spPr>
              <a:solidFill>
                <a:srgbClr val="00000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'Example (Bergger)'!$I$15:$I$94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1.80277563773199</c:v>
                </c:pt>
                <c:pt idx="13">
                  <c:v>1.87082869338697</c:v>
                </c:pt>
                <c:pt idx="14">
                  <c:v>1.93649167310371</c:v>
                </c:pt>
                <c:pt idx="15">
                  <c:v>2.06155281280883</c:v>
                </c:pt>
                <c:pt idx="16">
                  <c:v>2.17944947177034</c:v>
                </c:pt>
                <c:pt idx="17">
                  <c:v>2.29128784747792</c:v>
                </c:pt>
                <c:pt idx="18">
                  <c:v>2.39791576165636</c:v>
                </c:pt>
                <c:pt idx="19">
                  <c:v>2.54950975679639</c:v>
                </c:pt>
                <c:pt idx="20">
                  <c:v>2.69258240356725</c:v>
                </c:pt>
                <c:pt idx="21">
                  <c:v>2.82842712474619</c:v>
                </c:pt>
                <c:pt idx="22">
                  <c:v>3</c:v>
                </c:pt>
                <c:pt idx="23">
                  <c:v>3.16227766016838</c:v>
                </c:pt>
                <c:pt idx="24">
                  <c:v>3.35410196624968</c:v>
                </c:pt>
                <c:pt idx="25">
                  <c:v>3.53553390593274</c:v>
                </c:pt>
                <c:pt idx="26">
                  <c:v>3.74165738677394</c:v>
                </c:pt>
                <c:pt idx="27">
                  <c:v>3.96862696659689</c:v>
                </c:pt>
                <c:pt idx="28">
                  <c:v>4.21307488658818</c:v>
                </c:pt>
                <c:pt idx="29">
                  <c:v>4.47213595499958</c:v>
                </c:pt>
                <c:pt idx="30">
                  <c:v>4.74341649025257</c:v>
                </c:pt>
                <c:pt idx="31">
                  <c:v>5.02493781056045</c:v>
                </c:pt>
                <c:pt idx="32">
                  <c:v>5.33853912601566</c:v>
                </c:pt>
                <c:pt idx="33">
                  <c:v>5.67890834580027</c:v>
                </c:pt>
                <c:pt idx="34">
                  <c:v>6.04152298679729</c:v>
                </c:pt>
                <c:pt idx="35">
                  <c:v>6.42261628933257</c:v>
                </c:pt>
                <c:pt idx="36">
                  <c:v>6.81909084849293</c:v>
                </c:pt>
                <c:pt idx="37">
                  <c:v>7.24568837309472</c:v>
                </c:pt>
                <c:pt idx="38">
                  <c:v>7.69740215917033</c:v>
                </c:pt>
                <c:pt idx="39">
                  <c:v>8.18535277187245</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'Example (Bergger)'!$C$15:$C$94</c:f>
              <c:numCache>
                <c:formatCode>General</c:formatCode>
                <c:ptCount val="80"/>
                <c:pt idx="0">
                  <c:v>1</c:v>
                </c:pt>
                <c:pt idx="1">
                  <c:v>1</c:v>
                </c:pt>
                <c:pt idx="2">
                  <c:v>1.3</c:v>
                </c:pt>
                <c:pt idx="3">
                  <c:v>1.6</c:v>
                </c:pt>
                <c:pt idx="4">
                  <c:v>2</c:v>
                </c:pt>
                <c:pt idx="5">
                  <c:v>2.5</c:v>
                </c:pt>
                <c:pt idx="6">
                  <c:v>3</c:v>
                </c:pt>
                <c:pt idx="7">
                  <c:v>3.5</c:v>
                </c:pt>
                <c:pt idx="8">
                  <c:v>4</c:v>
                </c:pt>
                <c:pt idx="9">
                  <c:v>4.5</c:v>
                </c:pt>
                <c:pt idx="10">
                  <c:v>5</c:v>
                </c:pt>
                <c:pt idx="11">
                  <c:v>5.15</c:v>
                </c:pt>
                <c:pt idx="12">
                  <c:v>5.3</c:v>
                </c:pt>
                <c:pt idx="13">
                  <c:v>5.45</c:v>
                </c:pt>
                <c:pt idx="14">
                  <c:v>5.6</c:v>
                </c:pt>
                <c:pt idx="15">
                  <c:v>5.75</c:v>
                </c:pt>
                <c:pt idx="16">
                  <c:v>5.9</c:v>
                </c:pt>
                <c:pt idx="17">
                  <c:v>6</c:v>
                </c:pt>
                <c:pt idx="18">
                  <c:v>6.25</c:v>
                </c:pt>
                <c:pt idx="19">
                  <c:v>6.5</c:v>
                </c:pt>
                <c:pt idx="20">
                  <c:v>6.75</c:v>
                </c:pt>
                <c:pt idx="21">
                  <c:v>7</c:v>
                </c:pt>
                <c:pt idx="22">
                  <c:v>7.5</c:v>
                </c:pt>
                <c:pt idx="23">
                  <c:v>8</c:v>
                </c:pt>
                <c:pt idx="24">
                  <c:v>8.5</c:v>
                </c:pt>
                <c:pt idx="25">
                  <c:v>9</c:v>
                </c:pt>
                <c:pt idx="26">
                  <c:v>9.3</c:v>
                </c:pt>
                <c:pt idx="27">
                  <c:v>9.6</c:v>
                </c:pt>
                <c:pt idx="28">
                  <c:v>10</c:v>
                </c:pt>
                <c:pt idx="29">
                  <c:v>10.1</c:v>
                </c:pt>
                <c:pt idx="30">
                  <c:v>10.2</c:v>
                </c:pt>
                <c:pt idx="31">
                  <c:v>10.3</c:v>
                </c:pt>
                <c:pt idx="32">
                  <c:v>10.4</c:v>
                </c:pt>
                <c:pt idx="33">
                  <c:v>10.5</c:v>
                </c:pt>
                <c:pt idx="34">
                  <c:v>10.6</c:v>
                </c:pt>
                <c:pt idx="35">
                  <c:v>10.7</c:v>
                </c:pt>
                <c:pt idx="36">
                  <c:v>10.8</c:v>
                </c:pt>
                <c:pt idx="37">
                  <c:v>10.9</c:v>
                </c:pt>
                <c:pt idx="38">
                  <c:v>11</c:v>
                </c:pt>
                <c:pt idx="39">
                  <c:v>11</c:v>
                </c:pt>
              </c:numCache>
            </c:numRef>
          </c:yVal>
          <c:smooth val="1"/>
        </c:ser>
        <c:ser>
          <c:idx val="1"/>
          <c:order val="1"/>
          <c:tx>
            <c:strRef>
              <c:f>'Example (Bergger)'!D14</c:f>
              <c:strCache>
                <c:ptCount val="1"/>
                <c:pt idx="0">
                  <c:v>Grade 1</c:v>
                </c:pt>
              </c:strCache>
            </c:strRef>
          </c:tx>
          <c:spPr>
            <a:solidFill>
              <a:srgbClr val="c00000"/>
            </a:solidFill>
            <a:ln w="47520">
              <a:noFill/>
            </a:ln>
          </c:spPr>
          <c:marker>
            <c:symbol val="circle"/>
            <c:size val="6"/>
            <c:spPr>
              <a:solidFill>
                <a:srgbClr val="c0000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'Example (Bergger)'!$I$15:$I$94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1.80277563773199</c:v>
                </c:pt>
                <c:pt idx="13">
                  <c:v>1.87082869338697</c:v>
                </c:pt>
                <c:pt idx="14">
                  <c:v>1.93649167310371</c:v>
                </c:pt>
                <c:pt idx="15">
                  <c:v>2.06155281280883</c:v>
                </c:pt>
                <c:pt idx="16">
                  <c:v>2.17944947177034</c:v>
                </c:pt>
                <c:pt idx="17">
                  <c:v>2.29128784747792</c:v>
                </c:pt>
                <c:pt idx="18">
                  <c:v>2.39791576165636</c:v>
                </c:pt>
                <c:pt idx="19">
                  <c:v>2.54950975679639</c:v>
                </c:pt>
                <c:pt idx="20">
                  <c:v>2.69258240356725</c:v>
                </c:pt>
                <c:pt idx="21">
                  <c:v>2.82842712474619</c:v>
                </c:pt>
                <c:pt idx="22">
                  <c:v>3</c:v>
                </c:pt>
                <c:pt idx="23">
                  <c:v>3.16227766016838</c:v>
                </c:pt>
                <c:pt idx="24">
                  <c:v>3.35410196624968</c:v>
                </c:pt>
                <c:pt idx="25">
                  <c:v>3.53553390593274</c:v>
                </c:pt>
                <c:pt idx="26">
                  <c:v>3.74165738677394</c:v>
                </c:pt>
                <c:pt idx="27">
                  <c:v>3.96862696659689</c:v>
                </c:pt>
                <c:pt idx="28">
                  <c:v>4.21307488658818</c:v>
                </c:pt>
                <c:pt idx="29">
                  <c:v>4.47213595499958</c:v>
                </c:pt>
                <c:pt idx="30">
                  <c:v>4.74341649025257</c:v>
                </c:pt>
                <c:pt idx="31">
                  <c:v>5.02493781056045</c:v>
                </c:pt>
                <c:pt idx="32">
                  <c:v>5.33853912601566</c:v>
                </c:pt>
                <c:pt idx="33">
                  <c:v>5.67890834580027</c:v>
                </c:pt>
                <c:pt idx="34">
                  <c:v>6.04152298679729</c:v>
                </c:pt>
                <c:pt idx="35">
                  <c:v>6.42261628933257</c:v>
                </c:pt>
                <c:pt idx="36">
                  <c:v>6.81909084849293</c:v>
                </c:pt>
                <c:pt idx="37">
                  <c:v>7.24568837309472</c:v>
                </c:pt>
                <c:pt idx="38">
                  <c:v>7.69740215917033</c:v>
                </c:pt>
                <c:pt idx="39">
                  <c:v>8.18535277187245</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'Example (Bergger)'!$D$15:$D$94</c:f>
              <c:numCache>
                <c:formatCode>General</c:formatCode>
                <c:ptCount val="80"/>
                <c:pt idx="0">
                  <c:v>1</c:v>
                </c:pt>
                <c:pt idx="1">
                  <c:v>1.2</c:v>
                </c:pt>
                <c:pt idx="2">
                  <c:v>1.4</c:v>
                </c:pt>
                <c:pt idx="3">
                  <c:v>1.6</c:v>
                </c:pt>
                <c:pt idx="4">
                  <c:v>1.8</c:v>
                </c:pt>
                <c:pt idx="5">
                  <c:v>2</c:v>
                </c:pt>
                <c:pt idx="6">
                  <c:v>2.5</c:v>
                </c:pt>
                <c:pt idx="7">
                  <c:v>3</c:v>
                </c:pt>
                <c:pt idx="8">
                  <c:v>3.5</c:v>
                </c:pt>
                <c:pt idx="9">
                  <c:v>4</c:v>
                </c:pt>
                <c:pt idx="10">
                  <c:v>4.25</c:v>
                </c:pt>
                <c:pt idx="11">
                  <c:v>4.5</c:v>
                </c:pt>
                <c:pt idx="12">
                  <c:v>4.75</c:v>
                </c:pt>
                <c:pt idx="13">
                  <c:v>5</c:v>
                </c:pt>
                <c:pt idx="14">
                  <c:v>5.33</c:v>
                </c:pt>
                <c:pt idx="15">
                  <c:v>5.66</c:v>
                </c:pt>
                <c:pt idx="16">
                  <c:v>6</c:v>
                </c:pt>
                <c:pt idx="17">
                  <c:v>6.33</c:v>
                </c:pt>
                <c:pt idx="18">
                  <c:v>6.66</c:v>
                </c:pt>
                <c:pt idx="19">
                  <c:v>7</c:v>
                </c:pt>
                <c:pt idx="20">
                  <c:v>7.5</c:v>
                </c:pt>
                <c:pt idx="21">
                  <c:v>8</c:v>
                </c:pt>
                <c:pt idx="22">
                  <c:v>9</c:v>
                </c:pt>
                <c:pt idx="23">
                  <c:v>9.15</c:v>
                </c:pt>
                <c:pt idx="24">
                  <c:v>9.3</c:v>
                </c:pt>
                <c:pt idx="25">
                  <c:v>9.45</c:v>
                </c:pt>
                <c:pt idx="26">
                  <c:v>9.6</c:v>
                </c:pt>
                <c:pt idx="27">
                  <c:v>9.75</c:v>
                </c:pt>
                <c:pt idx="28">
                  <c:v>9.9</c:v>
                </c:pt>
                <c:pt idx="29">
                  <c:v>10</c:v>
                </c:pt>
                <c:pt idx="30">
                  <c:v>10.1</c:v>
                </c:pt>
                <c:pt idx="31">
                  <c:v>10.2</c:v>
                </c:pt>
                <c:pt idx="32">
                  <c:v>10.3</c:v>
                </c:pt>
                <c:pt idx="33">
                  <c:v>10.4</c:v>
                </c:pt>
                <c:pt idx="34">
                  <c:v>10.5</c:v>
                </c:pt>
                <c:pt idx="35">
                  <c:v>10.6</c:v>
                </c:pt>
                <c:pt idx="36">
                  <c:v>10.7</c:v>
                </c:pt>
                <c:pt idx="37">
                  <c:v>10.8</c:v>
                </c:pt>
                <c:pt idx="38">
                  <c:v>10.9</c:v>
                </c:pt>
                <c:pt idx="39">
                  <c:v>11</c:v>
                </c:pt>
              </c:numCache>
            </c:numRef>
          </c:yVal>
          <c:smooth val="1"/>
        </c:ser>
        <c:ser>
          <c:idx val="2"/>
          <c:order val="2"/>
          <c:tx>
            <c:strRef>
              <c:f>'Example (Bergger)'!E14</c:f>
              <c:strCache>
                <c:ptCount val="1"/>
                <c:pt idx="0">
                  <c:v>Grade 2</c:v>
                </c:pt>
              </c:strCache>
            </c:strRef>
          </c:tx>
          <c:spPr>
            <a:solidFill>
              <a:srgbClr val="ed7d31"/>
            </a:solidFill>
            <a:ln w="47520">
              <a:noFill/>
            </a:ln>
          </c:spPr>
          <c:marker>
            <c:symbol val="circle"/>
            <c:size val="6"/>
            <c:spPr>
              <a:solidFill>
                <a:srgbClr val="ed7d31"/>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'Example (Bergger)'!$I$15:$I$94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1.80277563773199</c:v>
                </c:pt>
                <c:pt idx="13">
                  <c:v>1.87082869338697</c:v>
                </c:pt>
                <c:pt idx="14">
                  <c:v>1.93649167310371</c:v>
                </c:pt>
                <c:pt idx="15">
                  <c:v>2.06155281280883</c:v>
                </c:pt>
                <c:pt idx="16">
                  <c:v>2.17944947177034</c:v>
                </c:pt>
                <c:pt idx="17">
                  <c:v>2.29128784747792</c:v>
                </c:pt>
                <c:pt idx="18">
                  <c:v>2.39791576165636</c:v>
                </c:pt>
                <c:pt idx="19">
                  <c:v>2.54950975679639</c:v>
                </c:pt>
                <c:pt idx="20">
                  <c:v>2.69258240356725</c:v>
                </c:pt>
                <c:pt idx="21">
                  <c:v>2.82842712474619</c:v>
                </c:pt>
                <c:pt idx="22">
                  <c:v>3</c:v>
                </c:pt>
                <c:pt idx="23">
                  <c:v>3.16227766016838</c:v>
                </c:pt>
                <c:pt idx="24">
                  <c:v>3.35410196624968</c:v>
                </c:pt>
                <c:pt idx="25">
                  <c:v>3.53553390593274</c:v>
                </c:pt>
                <c:pt idx="26">
                  <c:v>3.74165738677394</c:v>
                </c:pt>
                <c:pt idx="27">
                  <c:v>3.96862696659689</c:v>
                </c:pt>
                <c:pt idx="28">
                  <c:v>4.21307488658818</c:v>
                </c:pt>
                <c:pt idx="29">
                  <c:v>4.47213595499958</c:v>
                </c:pt>
                <c:pt idx="30">
                  <c:v>4.74341649025257</c:v>
                </c:pt>
                <c:pt idx="31">
                  <c:v>5.02493781056045</c:v>
                </c:pt>
                <c:pt idx="32">
                  <c:v>5.33853912601566</c:v>
                </c:pt>
                <c:pt idx="33">
                  <c:v>5.67890834580027</c:v>
                </c:pt>
                <c:pt idx="34">
                  <c:v>6.04152298679729</c:v>
                </c:pt>
                <c:pt idx="35">
                  <c:v>6.42261628933257</c:v>
                </c:pt>
                <c:pt idx="36">
                  <c:v>6.81909084849293</c:v>
                </c:pt>
                <c:pt idx="37">
                  <c:v>7.24568837309472</c:v>
                </c:pt>
                <c:pt idx="38">
                  <c:v>7.69740215917033</c:v>
                </c:pt>
                <c:pt idx="39">
                  <c:v>8.18535277187245</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'Example (Bergger)'!$E$15:$E$94</c:f>
              <c:numCache>
                <c:formatCode>General</c:formatCode>
                <c:ptCount val="80"/>
                <c:pt idx="0">
                  <c:v>1</c:v>
                </c:pt>
                <c:pt idx="1">
                  <c:v>1</c:v>
                </c:pt>
                <c:pt idx="2">
                  <c:v>1</c:v>
                </c:pt>
                <c:pt idx="3">
                  <c:v>1</c:v>
                </c:pt>
                <c:pt idx="4">
                  <c:v>1.25</c:v>
                </c:pt>
                <c:pt idx="5">
                  <c:v>1.5</c:v>
                </c:pt>
                <c:pt idx="6">
                  <c:v>1.75</c:v>
                </c:pt>
                <c:pt idx="7">
                  <c:v>2</c:v>
                </c:pt>
                <c:pt idx="8">
                  <c:v>2.5</c:v>
                </c:pt>
                <c:pt idx="9">
                  <c:v>3</c:v>
                </c:pt>
                <c:pt idx="10">
                  <c:v>3.33</c:v>
                </c:pt>
                <c:pt idx="11">
                  <c:v>3.66</c:v>
                </c:pt>
                <c:pt idx="12">
                  <c:v>4</c:v>
                </c:pt>
                <c:pt idx="13">
                  <c:v>4.2</c:v>
                </c:pt>
                <c:pt idx="14">
                  <c:v>4.4</c:v>
                </c:pt>
                <c:pt idx="15">
                  <c:v>4.6</c:v>
                </c:pt>
                <c:pt idx="16">
                  <c:v>4.8</c:v>
                </c:pt>
                <c:pt idx="17">
                  <c:v>5</c:v>
                </c:pt>
                <c:pt idx="18">
                  <c:v>5.33</c:v>
                </c:pt>
                <c:pt idx="19">
                  <c:v>5.66</c:v>
                </c:pt>
                <c:pt idx="20">
                  <c:v>6</c:v>
                </c:pt>
                <c:pt idx="21">
                  <c:v>7</c:v>
                </c:pt>
                <c:pt idx="22">
                  <c:v>7.5</c:v>
                </c:pt>
                <c:pt idx="23">
                  <c:v>8</c:v>
                </c:pt>
                <c:pt idx="24">
                  <c:v>8.33</c:v>
                </c:pt>
                <c:pt idx="25">
                  <c:v>8.66</c:v>
                </c:pt>
                <c:pt idx="26">
                  <c:v>9</c:v>
                </c:pt>
                <c:pt idx="27">
                  <c:v>9.5</c:v>
                </c:pt>
                <c:pt idx="28">
                  <c:v>10</c:v>
                </c:pt>
                <c:pt idx="29">
                  <c:v>10</c:v>
                </c:pt>
                <c:pt idx="30">
                  <c:v>10.1</c:v>
                </c:pt>
                <c:pt idx="31">
                  <c:v>10.2</c:v>
                </c:pt>
                <c:pt idx="32">
                  <c:v>10.3</c:v>
                </c:pt>
                <c:pt idx="33">
                  <c:v>10.4</c:v>
                </c:pt>
                <c:pt idx="34">
                  <c:v>10.5</c:v>
                </c:pt>
                <c:pt idx="35">
                  <c:v>10.6</c:v>
                </c:pt>
                <c:pt idx="36">
                  <c:v>10.7</c:v>
                </c:pt>
                <c:pt idx="37">
                  <c:v>10.8</c:v>
                </c:pt>
                <c:pt idx="38">
                  <c:v>10.9</c:v>
                </c:pt>
                <c:pt idx="39">
                  <c:v>11</c:v>
                </c:pt>
              </c:numCache>
            </c:numRef>
          </c:yVal>
          <c:smooth val="1"/>
        </c:ser>
        <c:ser>
          <c:idx val="3"/>
          <c:order val="3"/>
          <c:tx>
            <c:strRef>
              <c:f>'Example (Bergger)'!F14</c:f>
              <c:strCache>
                <c:ptCount val="1"/>
                <c:pt idx="0">
                  <c:v>Grade 3</c:v>
                </c:pt>
              </c:strCache>
            </c:strRef>
          </c:tx>
          <c:spPr>
            <a:solidFill>
              <a:srgbClr val="2e75b6"/>
            </a:solidFill>
            <a:ln w="47520">
              <a:noFill/>
            </a:ln>
          </c:spPr>
          <c:marker>
            <c:symbol val="circle"/>
            <c:size val="6"/>
            <c:spPr>
              <a:solidFill>
                <a:srgbClr val="2e75b6"/>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'Example (Bergger)'!$I$15:$I$94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1.80277563773199</c:v>
                </c:pt>
                <c:pt idx="13">
                  <c:v>1.87082869338697</c:v>
                </c:pt>
                <c:pt idx="14">
                  <c:v>1.93649167310371</c:v>
                </c:pt>
                <c:pt idx="15">
                  <c:v>2.06155281280883</c:v>
                </c:pt>
                <c:pt idx="16">
                  <c:v>2.17944947177034</c:v>
                </c:pt>
                <c:pt idx="17">
                  <c:v>2.29128784747792</c:v>
                </c:pt>
                <c:pt idx="18">
                  <c:v>2.39791576165636</c:v>
                </c:pt>
                <c:pt idx="19">
                  <c:v>2.54950975679639</c:v>
                </c:pt>
                <c:pt idx="20">
                  <c:v>2.69258240356725</c:v>
                </c:pt>
                <c:pt idx="21">
                  <c:v>2.82842712474619</c:v>
                </c:pt>
                <c:pt idx="22">
                  <c:v>3</c:v>
                </c:pt>
                <c:pt idx="23">
                  <c:v>3.16227766016838</c:v>
                </c:pt>
                <c:pt idx="24">
                  <c:v>3.35410196624968</c:v>
                </c:pt>
                <c:pt idx="25">
                  <c:v>3.53553390593274</c:v>
                </c:pt>
                <c:pt idx="26">
                  <c:v>3.74165738677394</c:v>
                </c:pt>
                <c:pt idx="27">
                  <c:v>3.96862696659689</c:v>
                </c:pt>
                <c:pt idx="28">
                  <c:v>4.21307488658818</c:v>
                </c:pt>
                <c:pt idx="29">
                  <c:v>4.47213595499958</c:v>
                </c:pt>
                <c:pt idx="30">
                  <c:v>4.74341649025257</c:v>
                </c:pt>
                <c:pt idx="31">
                  <c:v>5.02493781056045</c:v>
                </c:pt>
                <c:pt idx="32">
                  <c:v>5.33853912601566</c:v>
                </c:pt>
                <c:pt idx="33">
                  <c:v>5.67890834580027</c:v>
                </c:pt>
                <c:pt idx="34">
                  <c:v>6.04152298679729</c:v>
                </c:pt>
                <c:pt idx="35">
                  <c:v>6.42261628933257</c:v>
                </c:pt>
                <c:pt idx="36">
                  <c:v>6.81909084849293</c:v>
                </c:pt>
                <c:pt idx="37">
                  <c:v>7.24568837309472</c:v>
                </c:pt>
                <c:pt idx="38">
                  <c:v>7.69740215917033</c:v>
                </c:pt>
                <c:pt idx="39">
                  <c:v>8.18535277187245</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'Example (Bergger)'!$F$15:$F$94</c:f>
              <c:numCache>
                <c:formatCode>General</c:formatCode>
                <c:ptCount val="80"/>
                <c:pt idx="0">
                  <c:v>1</c:v>
                </c:pt>
                <c:pt idx="1">
                  <c:v>1</c:v>
                </c:pt>
                <c:pt idx="2">
                  <c:v>1</c:v>
                </c:pt>
                <c:pt idx="3">
                  <c:v>1</c:v>
                </c:pt>
                <c:pt idx="4">
                  <c:v>1</c:v>
                </c:pt>
                <c:pt idx="5">
                  <c:v>1</c:v>
                </c:pt>
                <c:pt idx="6">
                  <c:v>1</c:v>
                </c:pt>
                <c:pt idx="7">
                  <c:v>1.15</c:v>
                </c:pt>
                <c:pt idx="8">
                  <c:v>1.3</c:v>
                </c:pt>
                <c:pt idx="9">
                  <c:v>1.45</c:v>
                </c:pt>
                <c:pt idx="10">
                  <c:v>1.6</c:v>
                </c:pt>
                <c:pt idx="11">
                  <c:v>1.8</c:v>
                </c:pt>
                <c:pt idx="12">
                  <c:v>2</c:v>
                </c:pt>
                <c:pt idx="13">
                  <c:v>2.33</c:v>
                </c:pt>
                <c:pt idx="14">
                  <c:v>2.66</c:v>
                </c:pt>
                <c:pt idx="15">
                  <c:v>3</c:v>
                </c:pt>
                <c:pt idx="16">
                  <c:v>3.33</c:v>
                </c:pt>
                <c:pt idx="17">
                  <c:v>3.66</c:v>
                </c:pt>
                <c:pt idx="18">
                  <c:v>4</c:v>
                </c:pt>
                <c:pt idx="19">
                  <c:v>4.5</c:v>
                </c:pt>
                <c:pt idx="20">
                  <c:v>5</c:v>
                </c:pt>
                <c:pt idx="21">
                  <c:v>5.5</c:v>
                </c:pt>
                <c:pt idx="22">
                  <c:v>6</c:v>
                </c:pt>
                <c:pt idx="23">
                  <c:v>6.5</c:v>
                </c:pt>
                <c:pt idx="24">
                  <c:v>7</c:v>
                </c:pt>
                <c:pt idx="25">
                  <c:v>8</c:v>
                </c:pt>
                <c:pt idx="26">
                  <c:v>9</c:v>
                </c:pt>
                <c:pt idx="27">
                  <c:v>9.2</c:v>
                </c:pt>
                <c:pt idx="28">
                  <c:v>9.4</c:v>
                </c:pt>
                <c:pt idx="29">
                  <c:v>9.6</c:v>
                </c:pt>
                <c:pt idx="30">
                  <c:v>9.8</c:v>
                </c:pt>
                <c:pt idx="31">
                  <c:v>10</c:v>
                </c:pt>
                <c:pt idx="32">
                  <c:v>10.2</c:v>
                </c:pt>
                <c:pt idx="33">
                  <c:v>10.4</c:v>
                </c:pt>
                <c:pt idx="34">
                  <c:v>10.6</c:v>
                </c:pt>
                <c:pt idx="35">
                  <c:v>10.8</c:v>
                </c:pt>
                <c:pt idx="36">
                  <c:v>11</c:v>
                </c:pt>
                <c:pt idx="37">
                  <c:v>11</c:v>
                </c:pt>
                <c:pt idx="38">
                  <c:v>11</c:v>
                </c:pt>
                <c:pt idx="39">
                  <c:v>11</c:v>
                </c:pt>
              </c:numCache>
            </c:numRef>
          </c:yVal>
          <c:smooth val="1"/>
        </c:ser>
        <c:ser>
          <c:idx val="4"/>
          <c:order val="4"/>
          <c:tx>
            <c:strRef>
              <c:f>'Example (Bergger)'!G14</c:f>
              <c:strCache>
                <c:ptCount val="1"/>
                <c:pt idx="0">
                  <c:v>Grade 4</c:v>
                </c:pt>
              </c:strCache>
            </c:strRef>
          </c:tx>
          <c:spPr>
            <a:solidFill>
              <a:srgbClr val="548235"/>
            </a:solidFill>
            <a:ln w="47520">
              <a:noFill/>
            </a:ln>
          </c:spPr>
          <c:marker>
            <c:symbol val="circle"/>
            <c:size val="6"/>
            <c:spPr>
              <a:solidFill>
                <a:srgbClr val="54823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'Example (Bergger)'!$I$15:$I$94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1.80277563773199</c:v>
                </c:pt>
                <c:pt idx="13">
                  <c:v>1.87082869338697</c:v>
                </c:pt>
                <c:pt idx="14">
                  <c:v>1.93649167310371</c:v>
                </c:pt>
                <c:pt idx="15">
                  <c:v>2.06155281280883</c:v>
                </c:pt>
                <c:pt idx="16">
                  <c:v>2.17944947177034</c:v>
                </c:pt>
                <c:pt idx="17">
                  <c:v>2.29128784747792</c:v>
                </c:pt>
                <c:pt idx="18">
                  <c:v>2.39791576165636</c:v>
                </c:pt>
                <c:pt idx="19">
                  <c:v>2.54950975679639</c:v>
                </c:pt>
                <c:pt idx="20">
                  <c:v>2.69258240356725</c:v>
                </c:pt>
                <c:pt idx="21">
                  <c:v>2.82842712474619</c:v>
                </c:pt>
                <c:pt idx="22">
                  <c:v>3</c:v>
                </c:pt>
                <c:pt idx="23">
                  <c:v>3.16227766016838</c:v>
                </c:pt>
                <c:pt idx="24">
                  <c:v>3.35410196624968</c:v>
                </c:pt>
                <c:pt idx="25">
                  <c:v>3.53553390593274</c:v>
                </c:pt>
                <c:pt idx="26">
                  <c:v>3.74165738677394</c:v>
                </c:pt>
                <c:pt idx="27">
                  <c:v>3.96862696659689</c:v>
                </c:pt>
                <c:pt idx="28">
                  <c:v>4.21307488658818</c:v>
                </c:pt>
                <c:pt idx="29">
                  <c:v>4.47213595499958</c:v>
                </c:pt>
                <c:pt idx="30">
                  <c:v>4.74341649025257</c:v>
                </c:pt>
                <c:pt idx="31">
                  <c:v>5.02493781056045</c:v>
                </c:pt>
                <c:pt idx="32">
                  <c:v>5.33853912601566</c:v>
                </c:pt>
                <c:pt idx="33">
                  <c:v>5.67890834580027</c:v>
                </c:pt>
                <c:pt idx="34">
                  <c:v>6.04152298679729</c:v>
                </c:pt>
                <c:pt idx="35">
                  <c:v>6.42261628933257</c:v>
                </c:pt>
                <c:pt idx="36">
                  <c:v>6.81909084849293</c:v>
                </c:pt>
                <c:pt idx="37">
                  <c:v>7.24568837309472</c:v>
                </c:pt>
                <c:pt idx="38">
                  <c:v>7.69740215917033</c:v>
                </c:pt>
                <c:pt idx="39">
                  <c:v>8.18535277187245</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'Example (Bergger)'!$G$15:$G$94</c:f>
              <c:numCache>
                <c:formatCode>General</c:formatCode>
                <c:ptCount val="80"/>
                <c:pt idx="0">
                  <c:v>1</c:v>
                </c:pt>
                <c:pt idx="1">
                  <c:v>1</c:v>
                </c:pt>
                <c:pt idx="2">
                  <c:v>1</c:v>
                </c:pt>
                <c:pt idx="3">
                  <c:v>1</c:v>
                </c:pt>
                <c:pt idx="4">
                  <c:v>1</c:v>
                </c:pt>
                <c:pt idx="5">
                  <c:v>1</c:v>
                </c:pt>
                <c:pt idx="6">
                  <c:v>1</c:v>
                </c:pt>
                <c:pt idx="7">
                  <c:v>1</c:v>
                </c:pt>
                <c:pt idx="8">
                  <c:v>1.2</c:v>
                </c:pt>
                <c:pt idx="9">
                  <c:v>1.4</c:v>
                </c:pt>
                <c:pt idx="10">
                  <c:v>1.6</c:v>
                </c:pt>
                <c:pt idx="11">
                  <c:v>1.8</c:v>
                </c:pt>
                <c:pt idx="12">
                  <c:v>2</c:v>
                </c:pt>
                <c:pt idx="13">
                  <c:v>2.25</c:v>
                </c:pt>
                <c:pt idx="14">
                  <c:v>2.5</c:v>
                </c:pt>
                <c:pt idx="15">
                  <c:v>2.75</c:v>
                </c:pt>
                <c:pt idx="16">
                  <c:v>3</c:v>
                </c:pt>
                <c:pt idx="17">
                  <c:v>3.33</c:v>
                </c:pt>
                <c:pt idx="18">
                  <c:v>3.66</c:v>
                </c:pt>
                <c:pt idx="19">
                  <c:v>4</c:v>
                </c:pt>
                <c:pt idx="20">
                  <c:v>5</c:v>
                </c:pt>
                <c:pt idx="21">
                  <c:v>5.5</c:v>
                </c:pt>
                <c:pt idx="22">
                  <c:v>6</c:v>
                </c:pt>
                <c:pt idx="23">
                  <c:v>7</c:v>
                </c:pt>
                <c:pt idx="24">
                  <c:v>8</c:v>
                </c:pt>
                <c:pt idx="25">
                  <c:v>9</c:v>
                </c:pt>
                <c:pt idx="26">
                  <c:v>10</c:v>
                </c:pt>
                <c:pt idx="27">
                  <c:v>10.2</c:v>
                </c:pt>
                <c:pt idx="28">
                  <c:v>10.4</c:v>
                </c:pt>
                <c:pt idx="29">
                  <c:v>10.6</c:v>
                </c:pt>
                <c:pt idx="30">
                  <c:v>10.8</c:v>
                </c:pt>
                <c:pt idx="31">
                  <c:v>11</c:v>
                </c:pt>
                <c:pt idx="32">
                  <c:v>11</c:v>
                </c:pt>
                <c:pt idx="33">
                  <c:v>11</c:v>
                </c:pt>
                <c:pt idx="34">
                  <c:v>11</c:v>
                </c:pt>
                <c:pt idx="35">
                  <c:v>11</c:v>
                </c:pt>
                <c:pt idx="36">
                  <c:v>11</c:v>
                </c:pt>
                <c:pt idx="37">
                  <c:v>11</c:v>
                </c:pt>
                <c:pt idx="38">
                  <c:v>11</c:v>
                </c:pt>
                <c:pt idx="39">
                  <c:v>11</c:v>
                </c:pt>
              </c:numCache>
            </c:numRef>
          </c:yVal>
          <c:smooth val="1"/>
        </c:ser>
        <c:ser>
          <c:idx val="5"/>
          <c:order val="5"/>
          <c:tx>
            <c:strRef>
              <c:f>'Example (Bergger)'!H14</c:f>
              <c:strCache>
                <c:ptCount val="1"/>
                <c:pt idx="0">
                  <c:v>Grade 5</c:v>
                </c:pt>
              </c:strCache>
            </c:strRef>
          </c:tx>
          <c:spPr>
            <a:solidFill>
              <a:srgbClr val="7030a0"/>
            </a:solidFill>
            <a:ln w="47520">
              <a:noFill/>
            </a:ln>
          </c:spPr>
          <c:marker>
            <c:symbol val="circle"/>
            <c:size val="6"/>
            <c:spPr>
              <a:solidFill>
                <a:srgbClr val="7030a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'Example (Bergger)'!$I$15:$I$94</c:f>
              <c:numCache>
                <c:formatCode>0.000;\-0.000;;</c:formatCode>
                <c:ptCount val="80"/>
                <c:pt idx="0">
                  <c:v>0.5</c:v>
                </c:pt>
                <c:pt idx="1">
                  <c:v>0.707106781186548</c:v>
                </c:pt>
                <c:pt idx="2">
                  <c:v>0.866025403784439</c:v>
                </c:pt>
                <c:pt idx="3">
                  <c:v>1</c:v>
                </c:pt>
                <c:pt idx="4">
                  <c:v>1.1180339887499</c:v>
                </c:pt>
                <c:pt idx="5">
                  <c:v>1.22474487139159</c:v>
                </c:pt>
                <c:pt idx="6">
                  <c:v>1.3228756555323</c:v>
                </c:pt>
                <c:pt idx="7">
                  <c:v>1.4142135623731</c:v>
                </c:pt>
                <c:pt idx="8">
                  <c:v>1.5</c:v>
                </c:pt>
                <c:pt idx="9">
                  <c:v>1.58113883008419</c:v>
                </c:pt>
                <c:pt idx="10">
                  <c:v>1.6583123951777</c:v>
                </c:pt>
                <c:pt idx="11">
                  <c:v>1.73205080756888</c:v>
                </c:pt>
                <c:pt idx="12">
                  <c:v>1.80277563773199</c:v>
                </c:pt>
                <c:pt idx="13">
                  <c:v>1.87082869338697</c:v>
                </c:pt>
                <c:pt idx="14">
                  <c:v>1.93649167310371</c:v>
                </c:pt>
                <c:pt idx="15">
                  <c:v>2.06155281280883</c:v>
                </c:pt>
                <c:pt idx="16">
                  <c:v>2.17944947177034</c:v>
                </c:pt>
                <c:pt idx="17">
                  <c:v>2.29128784747792</c:v>
                </c:pt>
                <c:pt idx="18">
                  <c:v>2.39791576165636</c:v>
                </c:pt>
                <c:pt idx="19">
                  <c:v>2.54950975679639</c:v>
                </c:pt>
                <c:pt idx="20">
                  <c:v>2.69258240356725</c:v>
                </c:pt>
                <c:pt idx="21">
                  <c:v>2.82842712474619</c:v>
                </c:pt>
                <c:pt idx="22">
                  <c:v>3</c:v>
                </c:pt>
                <c:pt idx="23">
                  <c:v>3.16227766016838</c:v>
                </c:pt>
                <c:pt idx="24">
                  <c:v>3.35410196624968</c:v>
                </c:pt>
                <c:pt idx="25">
                  <c:v>3.53553390593274</c:v>
                </c:pt>
                <c:pt idx="26">
                  <c:v>3.74165738677394</c:v>
                </c:pt>
                <c:pt idx="27">
                  <c:v>3.96862696659689</c:v>
                </c:pt>
                <c:pt idx="28">
                  <c:v>4.21307488658818</c:v>
                </c:pt>
                <c:pt idx="29">
                  <c:v>4.47213595499958</c:v>
                </c:pt>
                <c:pt idx="30">
                  <c:v>4.74341649025257</c:v>
                </c:pt>
                <c:pt idx="31">
                  <c:v>5.02493781056045</c:v>
                </c:pt>
                <c:pt idx="32">
                  <c:v>5.33853912601566</c:v>
                </c:pt>
                <c:pt idx="33">
                  <c:v>5.67890834580027</c:v>
                </c:pt>
                <c:pt idx="34">
                  <c:v>6.04152298679729</c:v>
                </c:pt>
                <c:pt idx="35">
                  <c:v>6.42261628933257</c:v>
                </c:pt>
                <c:pt idx="36">
                  <c:v>6.81909084849293</c:v>
                </c:pt>
                <c:pt idx="37">
                  <c:v>7.24568837309472</c:v>
                </c:pt>
                <c:pt idx="38">
                  <c:v>7.69740215917033</c:v>
                </c:pt>
                <c:pt idx="39">
                  <c:v>8.18535277187245</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numCache>
            </c:numRef>
          </c:xVal>
          <c:yVal>
            <c:numRef>
              <c:f>'Example (Bergger)'!$H$15:$H$94</c:f>
              <c:numCache>
                <c:formatCode>General</c:formatCode>
                <c:ptCount val="80"/>
                <c:pt idx="0">
                  <c:v>1</c:v>
                </c:pt>
                <c:pt idx="1">
                  <c:v>1</c:v>
                </c:pt>
                <c:pt idx="2">
                  <c:v>1</c:v>
                </c:pt>
                <c:pt idx="3">
                  <c:v>1</c:v>
                </c:pt>
                <c:pt idx="4">
                  <c:v>1</c:v>
                </c:pt>
                <c:pt idx="5">
                  <c:v>1</c:v>
                </c:pt>
                <c:pt idx="6">
                  <c:v>1</c:v>
                </c:pt>
                <c:pt idx="7">
                  <c:v>1</c:v>
                </c:pt>
                <c:pt idx="8">
                  <c:v>1.2</c:v>
                </c:pt>
                <c:pt idx="9">
                  <c:v>1.4</c:v>
                </c:pt>
                <c:pt idx="10">
                  <c:v>1.6</c:v>
                </c:pt>
                <c:pt idx="11">
                  <c:v>1.8</c:v>
                </c:pt>
                <c:pt idx="12">
                  <c:v>2</c:v>
                </c:pt>
                <c:pt idx="13">
                  <c:v>2.33</c:v>
                </c:pt>
                <c:pt idx="14">
                  <c:v>2.66</c:v>
                </c:pt>
                <c:pt idx="15">
                  <c:v>3</c:v>
                </c:pt>
                <c:pt idx="16">
                  <c:v>4</c:v>
                </c:pt>
                <c:pt idx="17">
                  <c:v>5</c:v>
                </c:pt>
                <c:pt idx="18">
                  <c:v>6</c:v>
                </c:pt>
                <c:pt idx="19">
                  <c:v>7</c:v>
                </c:pt>
                <c:pt idx="20">
                  <c:v>8</c:v>
                </c:pt>
                <c:pt idx="21">
                  <c:v>9</c:v>
                </c:pt>
                <c:pt idx="22">
                  <c:v>10</c:v>
                </c:pt>
                <c:pt idx="23">
                  <c:v>10.2</c:v>
                </c:pt>
                <c:pt idx="24">
                  <c:v>10.4</c:v>
                </c:pt>
                <c:pt idx="25">
                  <c:v>10.6</c:v>
                </c:pt>
                <c:pt idx="26">
                  <c:v>10.8</c:v>
                </c:pt>
                <c:pt idx="27">
                  <c:v>11</c:v>
                </c:pt>
                <c:pt idx="28">
                  <c:v>11</c:v>
                </c:pt>
                <c:pt idx="29">
                  <c:v>11</c:v>
                </c:pt>
                <c:pt idx="30">
                  <c:v>11</c:v>
                </c:pt>
                <c:pt idx="31">
                  <c:v>11</c:v>
                </c:pt>
                <c:pt idx="32">
                  <c:v>11</c:v>
                </c:pt>
                <c:pt idx="33">
                  <c:v>11</c:v>
                </c:pt>
                <c:pt idx="34">
                  <c:v>11</c:v>
                </c:pt>
                <c:pt idx="35">
                  <c:v>11</c:v>
                </c:pt>
                <c:pt idx="36">
                  <c:v>11</c:v>
                </c:pt>
                <c:pt idx="37">
                  <c:v>11</c:v>
                </c:pt>
                <c:pt idx="38">
                  <c:v>11</c:v>
                </c:pt>
                <c:pt idx="39">
                  <c:v>11</c:v>
                </c:pt>
              </c:numCache>
            </c:numRef>
          </c:yVal>
          <c:smooth val="1"/>
        </c:ser>
        <c:axId val="32086532"/>
        <c:axId val="94667939"/>
      </c:scatterChart>
      <c:valAx>
        <c:axId val="32086532"/>
        <c:scaling>
          <c:orientation val="minMax"/>
          <c:min val="0"/>
        </c:scaling>
        <c:delete val="0"/>
        <c:axPos val="b"/>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feq = √(T·2^EV200)</a:t>
                </a:r>
              </a:p>
            </c:rich>
          </c:tx>
          <c:overlay val="0"/>
          <c:spPr>
            <a:noFill/>
            <a:ln w="0">
              <a:noFill/>
            </a:ln>
          </c:spPr>
        </c:title>
        <c:numFmt formatCode="0.000;\-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4667939"/>
        <c:crosses val="autoZero"/>
        <c:crossBetween val="midCat"/>
      </c:valAx>
      <c:valAx>
        <c:axId val="94667939"/>
        <c:scaling>
          <c:orientation val="minMax"/>
          <c:max val="12"/>
          <c:min val="0"/>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Gray level (1=white .. 11=black)</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2086532"/>
        <c:crosses val="autoZero"/>
        <c:crossBetween val="midCat"/>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_rels/drawing3.xml.rels><?xml version="1.0" encoding="UTF-8"?>
<Relationships xmlns="http://schemas.openxmlformats.org/package/2006/relationships"><Relationship Id="rId1"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21</xdr:col>
      <xdr:colOff>0</xdr:colOff>
      <xdr:row>14</xdr:row>
      <xdr:rowOff>160920</xdr:rowOff>
    </xdr:from>
    <xdr:to>
      <xdr:col>32</xdr:col>
      <xdr:colOff>113040</xdr:colOff>
      <xdr:row>33</xdr:row>
      <xdr:rowOff>140760</xdr:rowOff>
    </xdr:to>
    <xdr:graphicFrame>
      <xdr:nvGraphicFramePr>
        <xdr:cNvPr id="0" name="Chart 1"/>
        <xdr:cNvGraphicFramePr/>
      </xdr:nvGraphicFramePr>
      <xdr:xfrm>
        <a:off x="12030120" y="3048120"/>
        <a:ext cx="683964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11</xdr:col>
      <xdr:colOff>0</xdr:colOff>
      <xdr:row>75</xdr:row>
      <xdr:rowOff>160560</xdr:rowOff>
    </xdr:from>
    <xdr:to>
      <xdr:col>24</xdr:col>
      <xdr:colOff>330120</xdr:colOff>
      <xdr:row>94</xdr:row>
      <xdr:rowOff>140760</xdr:rowOff>
    </xdr:to>
    <xdr:graphicFrame>
      <xdr:nvGraphicFramePr>
        <xdr:cNvPr id="1" name="Chart 1"/>
        <xdr:cNvGraphicFramePr/>
      </xdr:nvGraphicFramePr>
      <xdr:xfrm>
        <a:off x="7119000" y="14668560"/>
        <a:ext cx="683964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21</xdr:col>
      <xdr:colOff>0</xdr:colOff>
      <xdr:row>14</xdr:row>
      <xdr:rowOff>160920</xdr:rowOff>
    </xdr:from>
    <xdr:to>
      <xdr:col>32</xdr:col>
      <xdr:colOff>113040</xdr:colOff>
      <xdr:row>33</xdr:row>
      <xdr:rowOff>140760</xdr:rowOff>
    </xdr:to>
    <xdr:graphicFrame>
      <xdr:nvGraphicFramePr>
        <xdr:cNvPr id="2" name="Chart 1"/>
        <xdr:cNvGraphicFramePr/>
      </xdr:nvGraphicFramePr>
      <xdr:xfrm>
        <a:off x="12030120" y="3048120"/>
        <a:ext cx="683964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3.xml"/><Relationship Id="rId3" Type="http://schemas.openxmlformats.org/officeDocument/2006/relationships/vmlDrawing" Target="../drawings/vmlDrawing3.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5.75" hidden="false" customHeight="true" outlineLevel="0" collapsed="false">
      <c r="A1" s="1" t="s">
        <v>0</v>
      </c>
    </row>
    <row r="2" customFormat="false" ht="45.75" hidden="false" customHeight="true" outlineLevel="0" collapsed="false">
      <c r="A2" s="2" t="s">
        <v>1</v>
      </c>
    </row>
    <row r="3" customFormat="false" ht="45.75" hidden="false" customHeight="true" outlineLevel="0" collapsed="false">
      <c r="A3" s="3" t="s">
        <v>2</v>
      </c>
    </row>
    <row r="4" customFormat="false" ht="102" hidden="false" customHeight="true" outlineLevel="0" collapsed="false">
      <c r="A4" s="2" t="s">
        <v>3</v>
      </c>
    </row>
    <row r="5" customFormat="false" ht="87.75" hidden="false" customHeight="true" outlineLevel="0" collapsed="false">
      <c r="A5" s="2" t="s">
        <v>4</v>
      </c>
    </row>
    <row r="6" customFormat="false" ht="87.75" hidden="false" customHeight="true" outlineLevel="0" collapsed="false">
      <c r="A6" s="2" t="s">
        <v>5</v>
      </c>
    </row>
    <row r="7" customFormat="false" ht="102" hidden="false" customHeight="true" outlineLevel="0" collapsed="false">
      <c r="A7" s="2" t="s">
        <v>6</v>
      </c>
    </row>
    <row r="8" customFormat="false" ht="60" hidden="false" customHeight="true" outlineLevel="0" collapsed="false">
      <c r="A8" s="2" t="s">
        <v>7</v>
      </c>
    </row>
    <row r="9" customFormat="false" ht="31.5" hidden="false" customHeight="true" outlineLevel="0" collapsed="false">
      <c r="A9" s="2" t="s">
        <v>8</v>
      </c>
    </row>
    <row r="10" customFormat="false" ht="45.75" hidden="false" customHeight="true" outlineLevel="0" collapsed="false">
      <c r="A10" s="2" t="s">
        <v>9</v>
      </c>
    </row>
    <row r="11" customFormat="false" ht="18" hidden="false" customHeight="true" outlineLevel="0" collapsed="false">
      <c r="A11" s="2" t="s">
        <v>10</v>
      </c>
    </row>
    <row r="12" customFormat="false" ht="31.5" hidden="false" customHeight="true" outlineLevel="0" collapsed="false">
      <c r="A12" s="4" t="s">
        <v>11</v>
      </c>
    </row>
    <row r="13" customFormat="false" ht="45.75" hidden="false" customHeight="true" outlineLevel="0" collapsed="false">
      <c r="A13" s="2" t="s">
        <v>12</v>
      </c>
    </row>
    <row r="14" customFormat="false" ht="7.5" hidden="false" customHeight="true" outlineLevel="0" collapsed="false">
      <c r="A14" s="2"/>
    </row>
    <row r="15" customFormat="false" ht="15.75" hidden="false" customHeight="true" outlineLevel="0" collapsed="false">
      <c r="A15" s="1" t="s">
        <v>13</v>
      </c>
    </row>
    <row r="16" customFormat="false" ht="60" hidden="false" customHeight="true" outlineLevel="0" collapsed="false">
      <c r="A16" s="2" t="s">
        <v>14</v>
      </c>
    </row>
    <row r="17" customFormat="false" ht="45.75" hidden="false" customHeight="true" outlineLevel="0" collapsed="false">
      <c r="A17" s="3" t="s">
        <v>15</v>
      </c>
    </row>
    <row r="18" customFormat="false" ht="102" hidden="false" customHeight="true" outlineLevel="0" collapsed="false">
      <c r="A18" s="2" t="s">
        <v>16</v>
      </c>
    </row>
    <row r="19" customFormat="false" ht="87.75" hidden="false" customHeight="true" outlineLevel="0" collapsed="false">
      <c r="A19" s="2" t="s">
        <v>17</v>
      </c>
    </row>
    <row r="20" customFormat="false" ht="87.75" hidden="false" customHeight="true" outlineLevel="0" collapsed="false">
      <c r="A20" s="2" t="s">
        <v>18</v>
      </c>
    </row>
    <row r="21" customFormat="false" ht="102" hidden="false" customHeight="true" outlineLevel="0" collapsed="false">
      <c r="A21" s="2" t="s">
        <v>19</v>
      </c>
    </row>
    <row r="22" customFormat="false" ht="73.5" hidden="false" customHeight="true" outlineLevel="0" collapsed="false">
      <c r="A22" s="2" t="s">
        <v>20</v>
      </c>
    </row>
    <row r="23" customFormat="false" ht="31.5" hidden="false" customHeight="true" outlineLevel="0" collapsed="false">
      <c r="A23" s="2" t="s">
        <v>21</v>
      </c>
    </row>
    <row r="24" customFormat="false" ht="60" hidden="false" customHeight="true" outlineLevel="0" collapsed="false">
      <c r="A24" s="2" t="s">
        <v>22</v>
      </c>
    </row>
    <row r="25" customFormat="false" ht="18" hidden="false" customHeight="true" outlineLevel="0" collapsed="false">
      <c r="A25" s="2" t="s">
        <v>23</v>
      </c>
    </row>
    <row r="26" customFormat="false" ht="31.5" hidden="false" customHeight="true" outlineLevel="0" collapsed="false">
      <c r="A26" s="4" t="s">
        <v>24</v>
      </c>
    </row>
    <row r="27" customFormat="false" ht="45.75" hidden="false" customHeight="true" outlineLevel="0" collapsed="false">
      <c r="A27" s="2" t="s">
        <v>25</v>
      </c>
    </row>
    <row r="28" customFormat="false" ht="7.5" hidden="false" customHeight="true" outlineLevel="0" collapsed="false">
      <c r="A28" s="2"/>
    </row>
    <row r="29" customFormat="false" ht="60" hidden="false" customHeight="true" outlineLevel="0" collapsed="false">
      <c r="A29" s="5" t="s">
        <v>26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4" topLeftCell="A1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8" min="2" style="0" width="9"/>
    <col collapsed="false" customWidth="true" hidden="false" outlineLevel="0" max="9" min="9" style="0" width="13"/>
    <col collapsed="false" customWidth="true" hidden="false" outlineLevel="0" max="10" min="10" style="0" width="12"/>
    <col collapsed="false" customWidth="true" hidden="false" outlineLevel="0" max="11" min="11" style="0" width="3"/>
    <col collapsed="false" customWidth="true" hidden="false" outlineLevel="0" max="12" min="12" style="0" width="5"/>
    <col collapsed="false" customWidth="true" hidden="false" outlineLevel="0" max="13" min="13" style="0" width="9"/>
    <col collapsed="false" customWidth="true" hidden="false" outlineLevel="0" max="14" min="14" style="0" width="12"/>
    <col collapsed="false" customWidth="true" hidden="false" outlineLevel="0" max="15" min="15" style="0" width="10"/>
    <col collapsed="false" customWidth="true" hidden="false" outlineLevel="0" max="16" min="16" style="0" width="2"/>
    <col collapsed="false" customWidth="true" hidden="false" outlineLevel="0" max="17" min="17" style="0" width="5"/>
    <col collapsed="false" customWidth="true" hidden="false" outlineLevel="0" max="18" min="18" style="0" width="6"/>
    <col collapsed="false" customWidth="true" hidden="false" outlineLevel="0" max="19" min="19" style="0" width="8"/>
    <col collapsed="false" customWidth="true" hidden="false" outlineLevel="0" max="20" min="20" style="0" width="4"/>
  </cols>
  <sheetData>
    <row r="1" customFormat="false" ht="17.35" hidden="false" customHeight="false" outlineLevel="0" collapsed="false">
      <c r="A1" s="6" t="s">
        <v>27</v>
      </c>
    </row>
    <row r="2" customFormat="false" ht="15" hidden="false" customHeight="false" outlineLevel="0" collapsed="false">
      <c r="A2" s="7" t="s">
        <v>28</v>
      </c>
      <c r="L2" s="8" t="s">
        <v>29</v>
      </c>
    </row>
    <row r="3" customFormat="false" ht="15" hidden="false" customHeight="false" outlineLevel="0" collapsed="false">
      <c r="A3" s="9" t="s">
        <v>30</v>
      </c>
      <c r="J3" s="10" t="n">
        <v>50</v>
      </c>
      <c r="L3" s="11" t="s">
        <v>31</v>
      </c>
      <c r="O3" s="12" t="n">
        <f aca="false">$J$8</f>
        <v>0</v>
      </c>
    </row>
    <row r="4" customFormat="false" ht="15" hidden="false" customHeight="false" outlineLevel="0" collapsed="false">
      <c r="A4" s="9" t="s">
        <v>32</v>
      </c>
      <c r="J4" s="10" t="n">
        <v>0</v>
      </c>
      <c r="L4" s="11" t="s">
        <v>33</v>
      </c>
      <c r="O4" s="13" t="n">
        <f aca="false">$J$11-$O$3</f>
        <v>-2</v>
      </c>
    </row>
    <row r="5" customFormat="false" ht="15" hidden="false" customHeight="false" outlineLevel="0" collapsed="false">
      <c r="A5" s="9" t="s">
        <v>34</v>
      </c>
      <c r="J5" s="10" t="n">
        <v>0</v>
      </c>
      <c r="L5" s="11" t="s">
        <v>35</v>
      </c>
      <c r="O5" s="10" t="n">
        <v>0.5</v>
      </c>
    </row>
    <row r="6" customFormat="false" ht="15" hidden="false" customHeight="false" outlineLevel="0" collapsed="false">
      <c r="A6" s="9" t="s">
        <v>36</v>
      </c>
      <c r="J6" s="10" t="n">
        <v>1</v>
      </c>
      <c r="L6" s="11" t="s">
        <v>37</v>
      </c>
      <c r="O6" s="10" t="n">
        <v>8</v>
      </c>
    </row>
    <row r="7" customFormat="false" ht="15" hidden="false" customHeight="false" outlineLevel="0" collapsed="false">
      <c r="A7" s="9" t="s">
        <v>38</v>
      </c>
      <c r="J7" s="10" t="n">
        <v>-2</v>
      </c>
      <c r="L7" s="11" t="s">
        <v>39</v>
      </c>
      <c r="O7" s="10" t="n">
        <v>40</v>
      </c>
    </row>
    <row r="8" customFormat="false" ht="15" hidden="false" customHeight="false" outlineLevel="0" collapsed="false">
      <c r="A8" s="9" t="s">
        <v>40</v>
      </c>
      <c r="J8" s="10" t="n">
        <v>0</v>
      </c>
      <c r="L8" s="11" t="s">
        <v>41</v>
      </c>
      <c r="O8" s="14" t="n">
        <f aca="false">MAX(1,ROUND($O$5^2/2^$O$4,0))</f>
        <v>1</v>
      </c>
    </row>
    <row r="9" customFormat="false" ht="15" hidden="false" customHeight="false" outlineLevel="0" collapsed="false">
      <c r="A9" s="9" t="s">
        <v>42</v>
      </c>
      <c r="J9" s="15" t="n">
        <f aca="false">IF(AND(J3&gt;0,J4&gt;=0,J4&lt;J3),1/LOG10(2)*LOG10(((J3-J4)/J3)^2),0)</f>
        <v>0</v>
      </c>
      <c r="L9" s="11" t="s">
        <v>43</v>
      </c>
      <c r="O9" s="14" t="n">
        <f aca="false">ROUND($O$6^2/2^$O$4,0)</f>
        <v>256</v>
      </c>
    </row>
    <row r="10" customFormat="false" ht="15" hidden="false" customHeight="false" outlineLevel="0" collapsed="false">
      <c r="A10" s="9" t="s">
        <v>44</v>
      </c>
      <c r="J10" s="15" t="n">
        <f aca="false">IF(J7&lt;0,J7*J6,J7)+J5</f>
        <v>-2</v>
      </c>
      <c r="L10" s="11" t="s">
        <v>45</v>
      </c>
      <c r="O10" s="14" t="n">
        <f aca="false">IFERROR(MATCH(1,$T$15:$T$73,0),$O$7-1)</f>
        <v>9</v>
      </c>
    </row>
    <row r="11" customFormat="false" ht="15" hidden="false" customHeight="false" outlineLevel="0" collapsed="false">
      <c r="A11" s="9" t="s">
        <v>46</v>
      </c>
      <c r="J11" s="15" t="n">
        <f aca="false">J10+J9</f>
        <v>-2</v>
      </c>
      <c r="L11" s="16" t="s">
        <v>47</v>
      </c>
      <c r="O11" s="14" t="n">
        <f aca="false">$O$8+$O$10-1</f>
        <v>9</v>
      </c>
    </row>
    <row r="12" customFormat="false" ht="15" hidden="false" customHeight="false" outlineLevel="0" collapsed="false">
      <c r="A12" s="9" t="s">
        <v>48</v>
      </c>
      <c r="J12" s="17" t="n">
        <f aca="false">IF(-2+$J$8-J9-J5&lt;0,(-2+$J$8-J9-J5)/J6,-2+$J$8-J9-J5)</f>
        <v>-2</v>
      </c>
      <c r="L12" s="16" t="s">
        <v>49</v>
      </c>
      <c r="O12" s="18" t="n">
        <f aca="false">($O$9/$O$11)^(1/($O$7-$O$10))</f>
        <v>1.11404605157315</v>
      </c>
    </row>
    <row r="13" customFormat="false" ht="15" hidden="false" customHeight="false" outlineLevel="0" collapsed="false">
      <c r="L13" s="16" t="s">
        <v>50</v>
      </c>
      <c r="O13" s="14" t="n">
        <f aca="false">COUNT(M15:M74)</f>
        <v>40</v>
      </c>
    </row>
    <row r="14" customFormat="false" ht="30" hidden="false" customHeight="true" outlineLevel="0" collapsed="false">
      <c r="A14" s="19" t="s">
        <v>51</v>
      </c>
      <c r="B14" s="19" t="s">
        <v>52</v>
      </c>
      <c r="C14" s="19" t="s">
        <v>53</v>
      </c>
      <c r="D14" s="19" t="s">
        <v>54</v>
      </c>
      <c r="E14" s="19" t="s">
        <v>55</v>
      </c>
      <c r="F14" s="19" t="s">
        <v>56</v>
      </c>
      <c r="G14" s="19" t="s">
        <v>57</v>
      </c>
      <c r="H14" s="19" t="s">
        <v>58</v>
      </c>
      <c r="I14" s="19" t="s">
        <v>59</v>
      </c>
      <c r="L14" s="19" t="s">
        <v>60</v>
      </c>
      <c r="M14" s="19" t="s">
        <v>52</v>
      </c>
      <c r="N14" s="19" t="s">
        <v>61</v>
      </c>
      <c r="O14" s="19" t="s">
        <v>62</v>
      </c>
      <c r="Q14" s="20" t="s">
        <v>63</v>
      </c>
      <c r="R14" s="20" t="s">
        <v>64</v>
      </c>
      <c r="S14" s="20" t="s">
        <v>65</v>
      </c>
      <c r="T14" s="20" t="s">
        <v>66</v>
      </c>
    </row>
    <row r="15" customFormat="false" ht="15" hidden="false" customHeight="false" outlineLevel="0" collapsed="false">
      <c r="A15" s="13" t="n">
        <f aca="false">IF(B15="","",$J$11-$J$8)</f>
        <v>-2</v>
      </c>
      <c r="B15" s="21" t="n">
        <f aca="false">IF(M15="","",M15)</f>
        <v>1</v>
      </c>
      <c r="C15" s="22"/>
      <c r="D15" s="22"/>
      <c r="E15" s="22"/>
      <c r="F15" s="22"/>
      <c r="G15" s="22"/>
      <c r="H15" s="22"/>
      <c r="I15" s="23" t="n">
        <f aca="false">IF(B15="",0,SQRT(B15*2^N(A15)))</f>
        <v>0.5</v>
      </c>
      <c r="L15" s="24" t="n">
        <v>0</v>
      </c>
      <c r="M15" s="24" t="n">
        <f aca="false">IF(L15&gt;=$O$7,"",IF($O$9-$O$8+1&lt;=$O$7,IF($O$8+L15&lt;=$O$9,$O$8+L15,""),IF(L15&lt;$O$10,$O$8+L15,ROUND($O$11*$O$12^(L15-$O$10+1),0))))</f>
        <v>1</v>
      </c>
      <c r="N15" s="24" t="n">
        <f aca="false">IF(M15="","",M15)</f>
        <v>1</v>
      </c>
      <c r="O15" s="13" t="n">
        <f aca="false">IF(M15="","",SQRT(M15*2^$O$4))</f>
        <v>0.5</v>
      </c>
      <c r="Q15" s="25" t="n">
        <v>1</v>
      </c>
      <c r="R15" s="25" t="n">
        <f aca="false">$O$8+Q15-1</f>
        <v>1</v>
      </c>
      <c r="S15" s="26" t="n">
        <f aca="false">IF(Q15&lt;=$O$7-1,($O$9/R15)^(1/($O$7-Q15)),"")</f>
        <v>1.15278878484927</v>
      </c>
      <c r="T15" s="25" t="n">
        <f aca="false">IF(S15="",0,IF(R15*(S15-1)&gt;=1,1,0))</f>
        <v>0</v>
      </c>
    </row>
    <row r="16" customFormat="false" ht="15" hidden="false" customHeight="false" outlineLevel="0" collapsed="false">
      <c r="A16" s="13" t="n">
        <f aca="false">IF(B16="","",$J$11-$J$8)</f>
        <v>-2</v>
      </c>
      <c r="B16" s="21" t="n">
        <f aca="false">IF(M16="","",M16)</f>
        <v>2</v>
      </c>
      <c r="C16" s="22"/>
      <c r="D16" s="22"/>
      <c r="E16" s="22"/>
      <c r="F16" s="22"/>
      <c r="G16" s="22"/>
      <c r="H16" s="22"/>
      <c r="I16" s="23" t="n">
        <f aca="false">IF(B16="",0,SQRT(B16*2^N(A16)))</f>
        <v>0.707106781186548</v>
      </c>
      <c r="L16" s="24" t="n">
        <f aca="false">L15+1</f>
        <v>1</v>
      </c>
      <c r="M16" s="24" t="n">
        <f aca="false">IF(L16&gt;=$O$7,"",IF($O$9-$O$8+1&lt;=$O$7,IF($O$8+L16&lt;=$O$9,$O$8+L16,""),IF(L16&lt;$O$10,$O$8+L16,ROUND($O$11*$O$12^(L16-$O$10+1),0))))</f>
        <v>2</v>
      </c>
      <c r="N16" s="24" t="n">
        <f aca="false">IF(M16="","",M16-M15)</f>
        <v>1</v>
      </c>
      <c r="O16" s="13" t="n">
        <f aca="false">IF(M16="","",SQRT(M16*2^$O$4))</f>
        <v>0.707106781186548</v>
      </c>
      <c r="Q16" s="25" t="n">
        <v>2</v>
      </c>
      <c r="R16" s="25" t="n">
        <f aca="false">$O$8+Q16-1</f>
        <v>2</v>
      </c>
      <c r="S16" s="26" t="n">
        <f aca="false">IF(Q16&lt;=$O$7-1,($O$9/R16)^(1/($O$7-Q16)),"")</f>
        <v>1.13619505277369</v>
      </c>
      <c r="T16" s="25" t="n">
        <f aca="false">IF(S16="",0,IF(R16*(S16-1)&gt;=1,1,0))</f>
        <v>0</v>
      </c>
    </row>
    <row r="17" customFormat="false" ht="15" hidden="false" customHeight="false" outlineLevel="0" collapsed="false">
      <c r="A17" s="13" t="n">
        <f aca="false">IF(B17="","",$J$11-$J$8)</f>
        <v>-2</v>
      </c>
      <c r="B17" s="21" t="n">
        <f aca="false">IF(M17="","",M17)</f>
        <v>3</v>
      </c>
      <c r="C17" s="22"/>
      <c r="D17" s="22"/>
      <c r="E17" s="22"/>
      <c r="F17" s="22"/>
      <c r="G17" s="22"/>
      <c r="H17" s="22"/>
      <c r="I17" s="23" t="n">
        <f aca="false">IF(B17="",0,SQRT(B17*2^N(A17)))</f>
        <v>0.866025403784439</v>
      </c>
      <c r="L17" s="24" t="n">
        <f aca="false">L16+1</f>
        <v>2</v>
      </c>
      <c r="M17" s="24" t="n">
        <f aca="false">IF(L17&gt;=$O$7,"",IF($O$9-$O$8+1&lt;=$O$7,IF($O$8+L17&lt;=$O$9,$O$8+L17,""),IF(L17&lt;$O$10,$O$8+L17,ROUND($O$11*$O$12^(L17-$O$10+1),0))))</f>
        <v>3</v>
      </c>
      <c r="N17" s="24" t="n">
        <f aca="false">IF(M17="","",M17-M16)</f>
        <v>1</v>
      </c>
      <c r="O17" s="13" t="n">
        <f aca="false">IF(M17="","",SQRT(M17*2^$O$4))</f>
        <v>0.866025403784439</v>
      </c>
      <c r="Q17" s="25" t="n">
        <v>3</v>
      </c>
      <c r="R17" s="25" t="n">
        <f aca="false">$O$8+Q17-1</f>
        <v>3</v>
      </c>
      <c r="S17" s="26" t="n">
        <f aca="false">IF(Q17&lt;=$O$7-1,($O$9/R17)^(1/($O$7-Q17)),"")</f>
        <v>1.12769692858631</v>
      </c>
      <c r="T17" s="25" t="n">
        <f aca="false">IF(S17="",0,IF(R17*(S17-1)&gt;=1,1,0))</f>
        <v>0</v>
      </c>
    </row>
    <row r="18" customFormat="false" ht="15" hidden="false" customHeight="false" outlineLevel="0" collapsed="false">
      <c r="A18" s="13" t="n">
        <f aca="false">IF(B18="","",$J$11-$J$8)</f>
        <v>-2</v>
      </c>
      <c r="B18" s="21" t="n">
        <f aca="false">IF(M18="","",M18)</f>
        <v>4</v>
      </c>
      <c r="C18" s="22"/>
      <c r="D18" s="22"/>
      <c r="E18" s="22"/>
      <c r="F18" s="22"/>
      <c r="G18" s="22"/>
      <c r="H18" s="22"/>
      <c r="I18" s="23" t="n">
        <f aca="false">IF(B18="",0,SQRT(B18*2^N(A18)))</f>
        <v>1</v>
      </c>
      <c r="L18" s="24" t="n">
        <f aca="false">L17+1</f>
        <v>3</v>
      </c>
      <c r="M18" s="24" t="n">
        <f aca="false">IF(L18&gt;=$O$7,"",IF($O$9-$O$8+1&lt;=$O$7,IF($O$8+L18&lt;=$O$9,$O$8+L18,""),IF(L18&lt;$O$10,$O$8+L18,ROUND($O$11*$O$12^(L18-$O$10+1),0))))</f>
        <v>4</v>
      </c>
      <c r="N18" s="24" t="n">
        <f aca="false">IF(M18="","",M18-M17)</f>
        <v>1</v>
      </c>
      <c r="O18" s="13" t="n">
        <f aca="false">IF(M18="","",SQRT(M18*2^$O$4))</f>
        <v>1</v>
      </c>
      <c r="Q18" s="25" t="n">
        <v>4</v>
      </c>
      <c r="R18" s="25" t="n">
        <f aca="false">$O$8+Q18-1</f>
        <v>4</v>
      </c>
      <c r="S18" s="26" t="n">
        <f aca="false">IF(Q18&lt;=$O$7-1,($O$9/R18)^(1/($O$7-Q18)),"")</f>
        <v>1.12246204830937</v>
      </c>
      <c r="T18" s="25" t="n">
        <f aca="false">IF(S18="",0,IF(R18*(S18-1)&gt;=1,1,0))</f>
        <v>0</v>
      </c>
    </row>
    <row r="19" customFormat="false" ht="15" hidden="false" customHeight="false" outlineLevel="0" collapsed="false">
      <c r="A19" s="13" t="n">
        <f aca="false">IF(B19="","",$J$11-$J$8)</f>
        <v>-2</v>
      </c>
      <c r="B19" s="21" t="n">
        <f aca="false">IF(M19="","",M19)</f>
        <v>5</v>
      </c>
      <c r="C19" s="22"/>
      <c r="D19" s="22"/>
      <c r="E19" s="22"/>
      <c r="F19" s="22"/>
      <c r="G19" s="22"/>
      <c r="H19" s="22"/>
      <c r="I19" s="23" t="n">
        <f aca="false">IF(B19="",0,SQRT(B19*2^N(A19)))</f>
        <v>1.1180339887499</v>
      </c>
      <c r="L19" s="24" t="n">
        <f aca="false">L18+1</f>
        <v>4</v>
      </c>
      <c r="M19" s="24" t="n">
        <f aca="false">IF(L19&gt;=$O$7,"",IF($O$9-$O$8+1&lt;=$O$7,IF($O$8+L19&lt;=$O$9,$O$8+L19,""),IF(L19&lt;$O$10,$O$8+L19,ROUND($O$11*$O$12^(L19-$O$10+1),0))))</f>
        <v>5</v>
      </c>
      <c r="N19" s="24" t="n">
        <f aca="false">IF(M19="","",M19-M18)</f>
        <v>1</v>
      </c>
      <c r="O19" s="13" t="n">
        <f aca="false">IF(M19="","",SQRT(M19*2^$O$4))</f>
        <v>1.1180339887499</v>
      </c>
      <c r="Q19" s="25" t="n">
        <v>5</v>
      </c>
      <c r="R19" s="25" t="n">
        <f aca="false">$O$8+Q19-1</f>
        <v>5</v>
      </c>
      <c r="S19" s="26" t="n">
        <f aca="false">IF(Q19&lt;=$O$7-1,($O$9/R19)^(1/($O$7-Q19)),"")</f>
        <v>1.11901597001846</v>
      </c>
      <c r="T19" s="25" t="n">
        <f aca="false">IF(S19="",0,IF(R19*(S19-1)&gt;=1,1,0))</f>
        <v>0</v>
      </c>
    </row>
    <row r="20" customFormat="false" ht="15" hidden="false" customHeight="false" outlineLevel="0" collapsed="false">
      <c r="A20" s="13" t="n">
        <f aca="false">IF(B20="","",$J$11-$J$8)</f>
        <v>-2</v>
      </c>
      <c r="B20" s="21" t="n">
        <f aca="false">IF(M20="","",M20)</f>
        <v>6</v>
      </c>
      <c r="C20" s="22"/>
      <c r="D20" s="22"/>
      <c r="E20" s="22"/>
      <c r="F20" s="22"/>
      <c r="G20" s="22"/>
      <c r="H20" s="22"/>
      <c r="I20" s="23" t="n">
        <f aca="false">IF(B20="",0,SQRT(B20*2^N(A20)))</f>
        <v>1.22474487139159</v>
      </c>
      <c r="L20" s="24" t="n">
        <f aca="false">L19+1</f>
        <v>5</v>
      </c>
      <c r="M20" s="24" t="n">
        <f aca="false">IF(L20&gt;=$O$7,"",IF($O$9-$O$8+1&lt;=$O$7,IF($O$8+L20&lt;=$O$9,$O$8+L20,""),IF(L20&lt;$O$10,$O$8+L20,ROUND($O$11*$O$12^(L20-$O$10+1),0))))</f>
        <v>6</v>
      </c>
      <c r="N20" s="24" t="n">
        <f aca="false">IF(M20="","",M20-M19)</f>
        <v>1</v>
      </c>
      <c r="O20" s="13" t="n">
        <f aca="false">IF(M20="","",SQRT(M20*2^$O$4))</f>
        <v>1.22474487139159</v>
      </c>
      <c r="Q20" s="25" t="n">
        <v>6</v>
      </c>
      <c r="R20" s="25" t="n">
        <f aca="false">$O$8+Q20-1</f>
        <v>6</v>
      </c>
      <c r="S20" s="26" t="n">
        <f aca="false">IF(Q20&lt;=$O$7-1,($O$9/R20)^(1/($O$7-Q20)),"")</f>
        <v>1.11671869244288</v>
      </c>
      <c r="T20" s="25" t="n">
        <f aca="false">IF(S20="",0,IF(R20*(S20-1)&gt;=1,1,0))</f>
        <v>0</v>
      </c>
    </row>
    <row r="21" customFormat="false" ht="15" hidden="false" customHeight="false" outlineLevel="0" collapsed="false">
      <c r="A21" s="13" t="n">
        <f aca="false">IF(B21="","",$J$11-$J$8)</f>
        <v>-2</v>
      </c>
      <c r="B21" s="21" t="n">
        <f aca="false">IF(M21="","",M21)</f>
        <v>7</v>
      </c>
      <c r="C21" s="22"/>
      <c r="D21" s="22"/>
      <c r="E21" s="22"/>
      <c r="F21" s="22"/>
      <c r="G21" s="22"/>
      <c r="H21" s="22"/>
      <c r="I21" s="23" t="n">
        <f aca="false">IF(B21="",0,SQRT(B21*2^N(A21)))</f>
        <v>1.3228756555323</v>
      </c>
      <c r="L21" s="24" t="n">
        <f aca="false">L20+1</f>
        <v>6</v>
      </c>
      <c r="M21" s="24" t="n">
        <f aca="false">IF(L21&gt;=$O$7,"",IF($O$9-$O$8+1&lt;=$O$7,IF($O$8+L21&lt;=$O$9,$O$8+L21,""),IF(L21&lt;$O$10,$O$8+L21,ROUND($O$11*$O$12^(L21-$O$10+1),0))))</f>
        <v>7</v>
      </c>
      <c r="N21" s="24" t="n">
        <f aca="false">IF(M21="","",M21-M20)</f>
        <v>1</v>
      </c>
      <c r="O21" s="13" t="n">
        <f aca="false">IF(M21="","",SQRT(M21*2^$O$4))</f>
        <v>1.3228756555323</v>
      </c>
      <c r="Q21" s="25" t="n">
        <v>7</v>
      </c>
      <c r="R21" s="25" t="n">
        <f aca="false">$O$8+Q21-1</f>
        <v>7</v>
      </c>
      <c r="S21" s="26" t="n">
        <f aca="false">IF(Q21&lt;=$O$7-1,($O$9/R21)^(1/($O$7-Q21)),"")</f>
        <v>1.11523897123097</v>
      </c>
      <c r="T21" s="25" t="n">
        <f aca="false">IF(S21="",0,IF(R21*(S21-1)&gt;=1,1,0))</f>
        <v>0</v>
      </c>
    </row>
    <row r="22" customFormat="false" ht="15" hidden="false" customHeight="false" outlineLevel="0" collapsed="false">
      <c r="A22" s="13" t="n">
        <f aca="false">IF(B22="","",$J$11-$J$8)</f>
        <v>-2</v>
      </c>
      <c r="B22" s="21" t="n">
        <f aca="false">IF(M22="","",M22)</f>
        <v>8</v>
      </c>
      <c r="C22" s="22"/>
      <c r="D22" s="22"/>
      <c r="E22" s="22"/>
      <c r="F22" s="22"/>
      <c r="G22" s="22"/>
      <c r="H22" s="22"/>
      <c r="I22" s="23" t="n">
        <f aca="false">IF(B22="",0,SQRT(B22*2^N(A22)))</f>
        <v>1.4142135623731</v>
      </c>
      <c r="L22" s="24" t="n">
        <f aca="false">L21+1</f>
        <v>7</v>
      </c>
      <c r="M22" s="24" t="n">
        <f aca="false">IF(L22&gt;=$O$7,"",IF($O$9-$O$8+1&lt;=$O$7,IF($O$8+L22&lt;=$O$9,$O$8+L22,""),IF(L22&lt;$O$10,$O$8+L22,ROUND($O$11*$O$12^(L22-$O$10+1),0))))</f>
        <v>8</v>
      </c>
      <c r="N22" s="24" t="n">
        <f aca="false">IF(M22="","",M22-M21)</f>
        <v>1</v>
      </c>
      <c r="O22" s="13" t="n">
        <f aca="false">IF(M22="","",SQRT(M22*2^$O$4))</f>
        <v>1.4142135623731</v>
      </c>
      <c r="Q22" s="25" t="n">
        <v>8</v>
      </c>
      <c r="R22" s="25" t="n">
        <f aca="false">$O$8+Q22-1</f>
        <v>8</v>
      </c>
      <c r="S22" s="26" t="n">
        <f aca="false">IF(Q22&lt;=$O$7-1,($O$9/R22)^(1/($O$7-Q22)),"")</f>
        <v>1.11438674259589</v>
      </c>
      <c r="T22" s="25" t="n">
        <f aca="false">IF(S22="",0,IF(R22*(S22-1)&gt;=1,1,0))</f>
        <v>0</v>
      </c>
    </row>
    <row r="23" customFormat="false" ht="15" hidden="false" customHeight="false" outlineLevel="0" collapsed="false">
      <c r="A23" s="13" t="n">
        <f aca="false">IF(B23="","",$J$11-$J$8)</f>
        <v>-2</v>
      </c>
      <c r="B23" s="21" t="n">
        <f aca="false">IF(M23="","",M23)</f>
        <v>9</v>
      </c>
      <c r="C23" s="22"/>
      <c r="D23" s="22"/>
      <c r="E23" s="22"/>
      <c r="F23" s="22"/>
      <c r="G23" s="22"/>
      <c r="H23" s="22"/>
      <c r="I23" s="23" t="n">
        <f aca="false">IF(B23="",0,SQRT(B23*2^N(A23)))</f>
        <v>1.5</v>
      </c>
      <c r="L23" s="24" t="n">
        <f aca="false">L22+1</f>
        <v>8</v>
      </c>
      <c r="M23" s="24" t="n">
        <f aca="false">IF(L23&gt;=$O$7,"",IF($O$9-$O$8+1&lt;=$O$7,IF($O$8+L23&lt;=$O$9,$O$8+L23,""),IF(L23&lt;$O$10,$O$8+L23,ROUND($O$11*$O$12^(L23-$O$10+1),0))))</f>
        <v>9</v>
      </c>
      <c r="N23" s="24" t="n">
        <f aca="false">IF(M23="","",M23-M22)</f>
        <v>1</v>
      </c>
      <c r="O23" s="13" t="n">
        <f aca="false">IF(M23="","",SQRT(M23*2^$O$4))</f>
        <v>1.5</v>
      </c>
      <c r="Q23" s="25" t="n">
        <v>9</v>
      </c>
      <c r="R23" s="25" t="n">
        <f aca="false">$O$8+Q23-1</f>
        <v>9</v>
      </c>
      <c r="S23" s="26" t="n">
        <f aca="false">IF(Q23&lt;=$O$7-1,($O$9/R23)^(1/($O$7-Q23)),"")</f>
        <v>1.11404605157315</v>
      </c>
      <c r="T23" s="25" t="n">
        <f aca="false">IF(S23="",0,IF(R23*(S23-1)&gt;=1,1,0))</f>
        <v>1</v>
      </c>
    </row>
    <row r="24" customFormat="false" ht="15" hidden="false" customHeight="false" outlineLevel="0" collapsed="false">
      <c r="A24" s="13" t="n">
        <f aca="false">IF(B24="","",$J$11-$J$8)</f>
        <v>-2</v>
      </c>
      <c r="B24" s="21" t="n">
        <f aca="false">IF(M24="","",M24)</f>
        <v>10</v>
      </c>
      <c r="C24" s="22"/>
      <c r="D24" s="22"/>
      <c r="E24" s="22"/>
      <c r="F24" s="22"/>
      <c r="G24" s="22"/>
      <c r="H24" s="22"/>
      <c r="I24" s="23" t="n">
        <f aca="false">IF(B24="",0,SQRT(B24*2^N(A24)))</f>
        <v>1.58113883008419</v>
      </c>
      <c r="L24" s="24" t="n">
        <f aca="false">L23+1</f>
        <v>9</v>
      </c>
      <c r="M24" s="24" t="n">
        <f aca="false">IF(L24&gt;=$O$7,"",IF($O$9-$O$8+1&lt;=$O$7,IF($O$8+L24&lt;=$O$9,$O$8+L24,""),IF(L24&lt;$O$10,$O$8+L24,ROUND($O$11*$O$12^(L24-$O$10+1),0))))</f>
        <v>10</v>
      </c>
      <c r="N24" s="24" t="n">
        <f aca="false">IF(M24="","",M24-M23)</f>
        <v>1</v>
      </c>
      <c r="O24" s="13" t="n">
        <f aca="false">IF(M24="","",SQRT(M24*2^$O$4))</f>
        <v>1.58113883008419</v>
      </c>
      <c r="Q24" s="25" t="n">
        <v>10</v>
      </c>
      <c r="R24" s="25" t="n">
        <f aca="false">$O$8+Q24-1</f>
        <v>10</v>
      </c>
      <c r="S24" s="26" t="n">
        <f aca="false">IF(Q24&lt;=$O$7-1,($O$9/R24)^(1/($O$7-Q24)),"")</f>
        <v>1.11414401632347</v>
      </c>
      <c r="T24" s="25" t="n">
        <f aca="false">IF(S24="",0,IF(R24*(S24-1)&gt;=1,1,0))</f>
        <v>1</v>
      </c>
    </row>
    <row r="25" customFormat="false" ht="15" hidden="false" customHeight="false" outlineLevel="0" collapsed="false">
      <c r="A25" s="13" t="n">
        <f aca="false">IF(B25="","",$J$11-$J$8)</f>
        <v>-2</v>
      </c>
      <c r="B25" s="21" t="n">
        <f aca="false">IF(M25="","",M25)</f>
        <v>11</v>
      </c>
      <c r="C25" s="22"/>
      <c r="D25" s="22"/>
      <c r="E25" s="22"/>
      <c r="F25" s="22"/>
      <c r="G25" s="22"/>
      <c r="H25" s="22"/>
      <c r="I25" s="23" t="n">
        <f aca="false">IF(B25="",0,SQRT(B25*2^N(A25)))</f>
        <v>1.6583123951777</v>
      </c>
      <c r="L25" s="24" t="n">
        <f aca="false">L24+1</f>
        <v>10</v>
      </c>
      <c r="M25" s="24" t="n">
        <f aca="false">IF(L25&gt;=$O$7,"",IF($O$9-$O$8+1&lt;=$O$7,IF($O$8+L25&lt;=$O$9,$O$8+L25,""),IF(L25&lt;$O$10,$O$8+L25,ROUND($O$11*$O$12^(L25-$O$10+1),0))))</f>
        <v>11</v>
      </c>
      <c r="N25" s="24" t="n">
        <f aca="false">IF(M25="","",M25-M24)</f>
        <v>1</v>
      </c>
      <c r="O25" s="13" t="n">
        <f aca="false">IF(M25="","",SQRT(M25*2^$O$4))</f>
        <v>1.6583123951777</v>
      </c>
      <c r="Q25" s="25" t="n">
        <v>11</v>
      </c>
      <c r="R25" s="25" t="n">
        <f aca="false">$O$8+Q25-1</f>
        <v>11</v>
      </c>
      <c r="S25" s="26" t="n">
        <f aca="false">IF(Q25&lt;=$O$7-1,($O$9/R25)^(1/($O$7-Q25)),"")</f>
        <v>1.11463497144014</v>
      </c>
      <c r="T25" s="25" t="n">
        <f aca="false">IF(S25="",0,IF(R25*(S25-1)&gt;=1,1,0))</f>
        <v>1</v>
      </c>
    </row>
    <row r="26" customFormat="false" ht="15" hidden="false" customHeight="false" outlineLevel="0" collapsed="false">
      <c r="A26" s="13" t="n">
        <f aca="false">IF(B26="","",$J$11-$J$8)</f>
        <v>-2</v>
      </c>
      <c r="B26" s="21" t="n">
        <f aca="false">IF(M26="","",M26)</f>
        <v>12</v>
      </c>
      <c r="C26" s="22"/>
      <c r="D26" s="22"/>
      <c r="E26" s="22"/>
      <c r="F26" s="22"/>
      <c r="G26" s="22"/>
      <c r="H26" s="22"/>
      <c r="I26" s="23" t="n">
        <f aca="false">IF(B26="",0,SQRT(B26*2^N(A26)))</f>
        <v>1.73205080756888</v>
      </c>
      <c r="L26" s="24" t="n">
        <f aca="false">L25+1</f>
        <v>11</v>
      </c>
      <c r="M26" s="24" t="n">
        <f aca="false">IF(L26&gt;=$O$7,"",IF($O$9-$O$8+1&lt;=$O$7,IF($O$8+L26&lt;=$O$9,$O$8+L26,""),IF(L26&lt;$O$10,$O$8+L26,ROUND($O$11*$O$12^(L26-$O$10+1),0))))</f>
        <v>12</v>
      </c>
      <c r="N26" s="24" t="n">
        <f aca="false">IF(M26="","",M26-M25)</f>
        <v>1</v>
      </c>
      <c r="O26" s="13" t="n">
        <f aca="false">IF(M26="","",SQRT(M26*2^$O$4))</f>
        <v>1.73205080756888</v>
      </c>
      <c r="Q26" s="25" t="n">
        <v>12</v>
      </c>
      <c r="R26" s="25" t="n">
        <f aca="false">$O$8+Q26-1</f>
        <v>12</v>
      </c>
      <c r="S26" s="26" t="n">
        <f aca="false">IF(Q26&lt;=$O$7-1,($O$9/R26)^(1/($O$7-Q26)),"")</f>
        <v>1.11549180181263</v>
      </c>
      <c r="T26" s="25" t="n">
        <f aca="false">IF(S26="",0,IF(R26*(S26-1)&gt;=1,1,0))</f>
        <v>1</v>
      </c>
    </row>
    <row r="27" customFormat="false" ht="15" hidden="false" customHeight="false" outlineLevel="0" collapsed="false">
      <c r="A27" s="13" t="n">
        <f aca="false">IF(B27="","",$J$11-$J$8)</f>
        <v>-2</v>
      </c>
      <c r="B27" s="21" t="n">
        <f aca="false">IF(M27="","",M27)</f>
        <v>14</v>
      </c>
      <c r="C27" s="22"/>
      <c r="D27" s="22"/>
      <c r="E27" s="22"/>
      <c r="F27" s="22"/>
      <c r="G27" s="22"/>
      <c r="H27" s="22"/>
      <c r="I27" s="23" t="n">
        <f aca="false">IF(B27="",0,SQRT(B27*2^N(A27)))</f>
        <v>1.87082869338697</v>
      </c>
      <c r="L27" s="24" t="n">
        <f aca="false">L26+1</f>
        <v>12</v>
      </c>
      <c r="M27" s="24" t="n">
        <f aca="false">IF(L27&gt;=$O$7,"",IF($O$9-$O$8+1&lt;=$O$7,IF($O$8+L27&lt;=$O$9,$O$8+L27,""),IF(L27&lt;$O$10,$O$8+L27,ROUND($O$11*$O$12^(L27-$O$10+1),0))))</f>
        <v>14</v>
      </c>
      <c r="N27" s="24" t="n">
        <f aca="false">IF(M27="","",M27-M26)</f>
        <v>2</v>
      </c>
      <c r="O27" s="13" t="n">
        <f aca="false">IF(M27="","",SQRT(M27*2^$O$4))</f>
        <v>1.87082869338697</v>
      </c>
      <c r="Q27" s="25" t="n">
        <v>13</v>
      </c>
      <c r="R27" s="25" t="n">
        <f aca="false">$O$8+Q27-1</f>
        <v>13</v>
      </c>
      <c r="S27" s="26" t="n">
        <f aca="false">IF(Q27&lt;=$O$7-1,($O$9/R27)^(1/($O$7-Q27)),"")</f>
        <v>1.11670101683186</v>
      </c>
      <c r="T27" s="25" t="n">
        <f aca="false">IF(S27="",0,IF(R27*(S27-1)&gt;=1,1,0))</f>
        <v>1</v>
      </c>
    </row>
    <row r="28" customFormat="false" ht="15" hidden="false" customHeight="false" outlineLevel="0" collapsed="false">
      <c r="A28" s="13" t="n">
        <f aca="false">IF(B28="","",$J$11-$J$8)</f>
        <v>-2</v>
      </c>
      <c r="B28" s="21" t="n">
        <f aca="false">IF(M28="","",M28)</f>
        <v>15</v>
      </c>
      <c r="C28" s="22"/>
      <c r="D28" s="22"/>
      <c r="E28" s="22"/>
      <c r="F28" s="22"/>
      <c r="G28" s="22"/>
      <c r="H28" s="22"/>
      <c r="I28" s="23" t="n">
        <f aca="false">IF(B28="",0,SQRT(B28*2^N(A28)))</f>
        <v>1.93649167310371</v>
      </c>
      <c r="L28" s="24" t="n">
        <f aca="false">L27+1</f>
        <v>13</v>
      </c>
      <c r="M28" s="24" t="n">
        <f aca="false">IF(L28&gt;=$O$7,"",IF($O$9-$O$8+1&lt;=$O$7,IF($O$8+L28&lt;=$O$9,$O$8+L28,""),IF(L28&lt;$O$10,$O$8+L28,ROUND($O$11*$O$12^(L28-$O$10+1),0))))</f>
        <v>15</v>
      </c>
      <c r="N28" s="24" t="n">
        <f aca="false">IF(M28="","",M28-M27)</f>
        <v>1</v>
      </c>
      <c r="O28" s="13" t="n">
        <f aca="false">IF(M28="","",SQRT(M28*2^$O$4))</f>
        <v>1.93649167310371</v>
      </c>
      <c r="Q28" s="25" t="n">
        <v>14</v>
      </c>
      <c r="R28" s="25" t="n">
        <f aca="false">$O$8+Q28-1</f>
        <v>14</v>
      </c>
      <c r="S28" s="26" t="n">
        <f aca="false">IF(Q28&lt;=$O$7-1,($O$9/R28)^(1/($O$7-Q28)),"")</f>
        <v>1.11825993820128</v>
      </c>
      <c r="T28" s="25" t="n">
        <f aca="false">IF(S28="",0,IF(R28*(S28-1)&gt;=1,1,0))</f>
        <v>1</v>
      </c>
    </row>
    <row r="29" customFormat="false" ht="15" hidden="false" customHeight="false" outlineLevel="0" collapsed="false">
      <c r="A29" s="13" t="n">
        <f aca="false">IF(B29="","",$J$11-$J$8)</f>
        <v>-2</v>
      </c>
      <c r="B29" s="21" t="n">
        <f aca="false">IF(M29="","",M29)</f>
        <v>17</v>
      </c>
      <c r="C29" s="22"/>
      <c r="D29" s="22"/>
      <c r="E29" s="22"/>
      <c r="F29" s="22"/>
      <c r="G29" s="22"/>
      <c r="H29" s="22"/>
      <c r="I29" s="23" t="n">
        <f aca="false">IF(B29="",0,SQRT(B29*2^N(A29)))</f>
        <v>2.06155281280883</v>
      </c>
      <c r="L29" s="24" t="n">
        <f aca="false">L28+1</f>
        <v>14</v>
      </c>
      <c r="M29" s="24" t="n">
        <f aca="false">IF(L29&gt;=$O$7,"",IF($O$9-$O$8+1&lt;=$O$7,IF($O$8+L29&lt;=$O$9,$O$8+L29,""),IF(L29&lt;$O$10,$O$8+L29,ROUND($O$11*$O$12^(L29-$O$10+1),0))))</f>
        <v>17</v>
      </c>
      <c r="N29" s="24" t="n">
        <f aca="false">IF(M29="","",M29-M28)</f>
        <v>2</v>
      </c>
      <c r="O29" s="13" t="n">
        <f aca="false">IF(M29="","",SQRT(M29*2^$O$4))</f>
        <v>2.06155281280883</v>
      </c>
      <c r="Q29" s="25" t="n">
        <v>15</v>
      </c>
      <c r="R29" s="25" t="n">
        <f aca="false">$O$8+Q29-1</f>
        <v>15</v>
      </c>
      <c r="S29" s="26" t="n">
        <f aca="false">IF(Q29&lt;=$O$7-1,($O$9/R29)^(1/($O$7-Q29)),"")</f>
        <v>1.12017518665909</v>
      </c>
      <c r="T29" s="25" t="n">
        <f aca="false">IF(S29="",0,IF(R29*(S29-1)&gt;=1,1,0))</f>
        <v>1</v>
      </c>
    </row>
    <row r="30" customFormat="false" ht="15" hidden="false" customHeight="false" outlineLevel="0" collapsed="false">
      <c r="A30" s="13" t="n">
        <f aca="false">IF(B30="","",$J$11-$J$8)</f>
        <v>-2</v>
      </c>
      <c r="B30" s="21" t="n">
        <f aca="false">IF(M30="","",M30)</f>
        <v>19</v>
      </c>
      <c r="C30" s="22"/>
      <c r="D30" s="22"/>
      <c r="E30" s="22"/>
      <c r="F30" s="22"/>
      <c r="G30" s="22"/>
      <c r="H30" s="22"/>
      <c r="I30" s="23" t="n">
        <f aca="false">IF(B30="",0,SQRT(B30*2^N(A30)))</f>
        <v>2.17944947177034</v>
      </c>
      <c r="L30" s="24" t="n">
        <f aca="false">L29+1</f>
        <v>15</v>
      </c>
      <c r="M30" s="24" t="n">
        <f aca="false">IF(L30&gt;=$O$7,"",IF($O$9-$O$8+1&lt;=$O$7,IF($O$8+L30&lt;=$O$9,$O$8+L30,""),IF(L30&lt;$O$10,$O$8+L30,ROUND($O$11*$O$12^(L30-$O$10+1),0))))</f>
        <v>19</v>
      </c>
      <c r="N30" s="24" t="n">
        <f aca="false">IF(M30="","",M30-M29)</f>
        <v>2</v>
      </c>
      <c r="O30" s="13" t="n">
        <f aca="false">IF(M30="","",SQRT(M30*2^$O$4))</f>
        <v>2.17944947177034</v>
      </c>
      <c r="Q30" s="25" t="n">
        <v>16</v>
      </c>
      <c r="R30" s="25" t="n">
        <f aca="false">$O$8+Q30-1</f>
        <v>16</v>
      </c>
      <c r="S30" s="26" t="n">
        <f aca="false">IF(Q30&lt;=$O$7-1,($O$9/R30)^(1/($O$7-Q30)),"")</f>
        <v>1.12246204830937</v>
      </c>
      <c r="T30" s="25" t="n">
        <f aca="false">IF(S30="",0,IF(R30*(S30-1)&gt;=1,1,0))</f>
        <v>1</v>
      </c>
    </row>
    <row r="31" customFormat="false" ht="15" hidden="false" customHeight="false" outlineLevel="0" collapsed="false">
      <c r="A31" s="13" t="n">
        <f aca="false">IF(B31="","",$J$11-$J$8)</f>
        <v>-2</v>
      </c>
      <c r="B31" s="21" t="n">
        <f aca="false">IF(M31="","",M31)</f>
        <v>21</v>
      </c>
      <c r="C31" s="22"/>
      <c r="D31" s="22"/>
      <c r="E31" s="22"/>
      <c r="F31" s="22"/>
      <c r="G31" s="22"/>
      <c r="H31" s="22"/>
      <c r="I31" s="23" t="n">
        <f aca="false">IF(B31="",0,SQRT(B31*2^N(A31)))</f>
        <v>2.29128784747792</v>
      </c>
      <c r="L31" s="24" t="n">
        <f aca="false">L30+1</f>
        <v>16</v>
      </c>
      <c r="M31" s="24" t="n">
        <f aca="false">IF(L31&gt;=$O$7,"",IF($O$9-$O$8+1&lt;=$O$7,IF($O$8+L31&lt;=$O$9,$O$8+L31,""),IF(L31&lt;$O$10,$O$8+L31,ROUND($O$11*$O$12^(L31-$O$10+1),0))))</f>
        <v>21</v>
      </c>
      <c r="N31" s="24" t="n">
        <f aca="false">IF(M31="","",M31-M30)</f>
        <v>2</v>
      </c>
      <c r="O31" s="13" t="n">
        <f aca="false">IF(M31="","",SQRT(M31*2^$O$4))</f>
        <v>2.29128784747792</v>
      </c>
      <c r="Q31" s="25" t="n">
        <v>17</v>
      </c>
      <c r="R31" s="25" t="n">
        <f aca="false">$O$8+Q31-1</f>
        <v>17</v>
      </c>
      <c r="S31" s="26" t="n">
        <f aca="false">IF(Q31&lt;=$O$7-1,($O$9/R31)^(1/($O$7-Q31)),"")</f>
        <v>1.12514451212293</v>
      </c>
      <c r="T31" s="25" t="n">
        <f aca="false">IF(S31="",0,IF(R31*(S31-1)&gt;=1,1,0))</f>
        <v>1</v>
      </c>
    </row>
    <row r="32" customFormat="false" ht="15" hidden="false" customHeight="false" outlineLevel="0" collapsed="false">
      <c r="A32" s="13" t="n">
        <f aca="false">IF(B32="","",$J$11-$J$8)</f>
        <v>-2</v>
      </c>
      <c r="B32" s="21" t="n">
        <f aca="false">IF(M32="","",M32)</f>
        <v>24</v>
      </c>
      <c r="C32" s="22"/>
      <c r="D32" s="22"/>
      <c r="E32" s="22"/>
      <c r="F32" s="22"/>
      <c r="G32" s="22"/>
      <c r="H32" s="22"/>
      <c r="I32" s="23" t="n">
        <f aca="false">IF(B32="",0,SQRT(B32*2^N(A32)))</f>
        <v>2.44948974278318</v>
      </c>
      <c r="L32" s="24" t="n">
        <f aca="false">L31+1</f>
        <v>17</v>
      </c>
      <c r="M32" s="24" t="n">
        <f aca="false">IF(L32&gt;=$O$7,"",IF($O$9-$O$8+1&lt;=$O$7,IF($O$8+L32&lt;=$O$9,$O$8+L32,""),IF(L32&lt;$O$10,$O$8+L32,ROUND($O$11*$O$12^(L32-$O$10+1),0))))</f>
        <v>24</v>
      </c>
      <c r="N32" s="24" t="n">
        <f aca="false">IF(M32="","",M32-M31)</f>
        <v>3</v>
      </c>
      <c r="O32" s="13" t="n">
        <f aca="false">IF(M32="","",SQRT(M32*2^$O$4))</f>
        <v>2.44948974278318</v>
      </c>
      <c r="Q32" s="25" t="n">
        <v>18</v>
      </c>
      <c r="R32" s="25" t="n">
        <f aca="false">$O$8+Q32-1</f>
        <v>18</v>
      </c>
      <c r="S32" s="26" t="n">
        <f aca="false">IF(Q32&lt;=$O$7-1,($O$9/R32)^(1/($O$7-Q32)),"")</f>
        <v>1.12825589628242</v>
      </c>
      <c r="T32" s="25" t="n">
        <f aca="false">IF(S32="",0,IF(R32*(S32-1)&gt;=1,1,0))</f>
        <v>1</v>
      </c>
    </row>
    <row r="33" customFormat="false" ht="15" hidden="false" customHeight="false" outlineLevel="0" collapsed="false">
      <c r="A33" s="13" t="n">
        <f aca="false">IF(B33="","",$J$11-$J$8)</f>
        <v>-2</v>
      </c>
      <c r="B33" s="21" t="n">
        <f aca="false">IF(M33="","",M33)</f>
        <v>27</v>
      </c>
      <c r="C33" s="22"/>
      <c r="D33" s="22"/>
      <c r="E33" s="22"/>
      <c r="F33" s="22"/>
      <c r="G33" s="22"/>
      <c r="H33" s="22"/>
      <c r="I33" s="23" t="n">
        <f aca="false">IF(B33="",0,SQRT(B33*2^N(A33)))</f>
        <v>2.59807621135332</v>
      </c>
      <c r="L33" s="24" t="n">
        <f aca="false">L32+1</f>
        <v>18</v>
      </c>
      <c r="M33" s="24" t="n">
        <f aca="false">IF(L33&gt;=$O$7,"",IF($O$9-$O$8+1&lt;=$O$7,IF($O$8+L33&lt;=$O$9,$O$8+L33,""),IF(L33&lt;$O$10,$O$8+L33,ROUND($O$11*$O$12^(L33-$O$10+1),0))))</f>
        <v>27</v>
      </c>
      <c r="N33" s="24" t="n">
        <f aca="false">IF(M33="","",M33-M32)</f>
        <v>3</v>
      </c>
      <c r="O33" s="13" t="n">
        <f aca="false">IF(M33="","",SQRT(M33*2^$O$4))</f>
        <v>2.59807621135332</v>
      </c>
      <c r="Q33" s="25" t="n">
        <v>19</v>
      </c>
      <c r="R33" s="25" t="n">
        <f aca="false">$O$8+Q33-1</f>
        <v>19</v>
      </c>
      <c r="S33" s="26" t="n">
        <f aca="false">IF(Q33&lt;=$O$7-1,($O$9/R33)^(1/($O$7-Q33)),"")</f>
        <v>1.13184006993578</v>
      </c>
      <c r="T33" s="25" t="n">
        <f aca="false">IF(S33="",0,IF(R33*(S33-1)&gt;=1,1,0))</f>
        <v>1</v>
      </c>
    </row>
    <row r="34" customFormat="false" ht="15" hidden="false" customHeight="false" outlineLevel="0" collapsed="false">
      <c r="A34" s="13" t="n">
        <f aca="false">IF(B34="","",$J$11-$J$8)</f>
        <v>-2</v>
      </c>
      <c r="B34" s="21" t="n">
        <f aca="false">IF(M34="","",M34)</f>
        <v>30</v>
      </c>
      <c r="C34" s="22"/>
      <c r="D34" s="22"/>
      <c r="E34" s="22"/>
      <c r="F34" s="22"/>
      <c r="G34" s="22"/>
      <c r="H34" s="22"/>
      <c r="I34" s="23" t="n">
        <f aca="false">IF(B34="",0,SQRT(B34*2^N(A34)))</f>
        <v>2.73861278752583</v>
      </c>
      <c r="L34" s="24" t="n">
        <f aca="false">L33+1</f>
        <v>19</v>
      </c>
      <c r="M34" s="24" t="n">
        <f aca="false">IF(L34&gt;=$O$7,"",IF($O$9-$O$8+1&lt;=$O$7,IF($O$8+L34&lt;=$O$9,$O$8+L34,""),IF(L34&lt;$O$10,$O$8+L34,ROUND($O$11*$O$12^(L34-$O$10+1),0))))</f>
        <v>30</v>
      </c>
      <c r="N34" s="24" t="n">
        <f aca="false">IF(M34="","",M34-M33)</f>
        <v>3</v>
      </c>
      <c r="O34" s="13" t="n">
        <f aca="false">IF(M34="","",SQRT(M34*2^$O$4))</f>
        <v>2.73861278752583</v>
      </c>
      <c r="Q34" s="25" t="n">
        <v>20</v>
      </c>
      <c r="R34" s="25" t="n">
        <f aca="false">$O$8+Q34-1</f>
        <v>20</v>
      </c>
      <c r="S34" s="26" t="n">
        <f aca="false">IF(Q34&lt;=$O$7-1,($O$9/R34)^(1/($O$7-Q34)),"")</f>
        <v>1.13595335480663</v>
      </c>
      <c r="T34" s="25" t="n">
        <f aca="false">IF(S34="",0,IF(R34*(S34-1)&gt;=1,1,0))</f>
        <v>1</v>
      </c>
    </row>
    <row r="35" customFormat="false" ht="15" hidden="false" customHeight="false" outlineLevel="0" collapsed="false">
      <c r="A35" s="13" t="n">
        <f aca="false">IF(B35="","",$J$11-$J$8)</f>
        <v>-2</v>
      </c>
      <c r="B35" s="21" t="n">
        <f aca="false">IF(M35="","",M35)</f>
        <v>33</v>
      </c>
      <c r="C35" s="22"/>
      <c r="D35" s="22"/>
      <c r="E35" s="22"/>
      <c r="F35" s="22"/>
      <c r="G35" s="22"/>
      <c r="H35" s="22"/>
      <c r="I35" s="23" t="n">
        <f aca="false">IF(B35="",0,SQRT(B35*2^N(A35)))</f>
        <v>2.87228132326901</v>
      </c>
      <c r="L35" s="24" t="n">
        <f aca="false">L34+1</f>
        <v>20</v>
      </c>
      <c r="M35" s="24" t="n">
        <f aca="false">IF(L35&gt;=$O$7,"",IF($O$9-$O$8+1&lt;=$O$7,IF($O$8+L35&lt;=$O$9,$O$8+L35,""),IF(L35&lt;$O$10,$O$8+L35,ROUND($O$11*$O$12^(L35-$O$10+1),0))))</f>
        <v>33</v>
      </c>
      <c r="N35" s="24" t="n">
        <f aca="false">IF(M35="","",M35-M34)</f>
        <v>3</v>
      </c>
      <c r="O35" s="13" t="n">
        <f aca="false">IF(M35="","",SQRT(M35*2^$O$4))</f>
        <v>2.87228132326901</v>
      </c>
      <c r="Q35" s="25" t="n">
        <v>21</v>
      </c>
      <c r="R35" s="25" t="n">
        <f aca="false">$O$8+Q35-1</f>
        <v>21</v>
      </c>
      <c r="S35" s="26" t="n">
        <f aca="false">IF(Q35&lt;=$O$7-1,($O$9/R35)^(1/($O$7-Q35)),"")</f>
        <v>1.14066727647445</v>
      </c>
      <c r="T35" s="25" t="n">
        <f aca="false">IF(S35="",0,IF(R35*(S35-1)&gt;=1,1,0))</f>
        <v>1</v>
      </c>
    </row>
    <row r="36" customFormat="false" ht="15" hidden="false" customHeight="false" outlineLevel="0" collapsed="false">
      <c r="A36" s="13" t="n">
        <f aca="false">IF(B36="","",$J$11-$J$8)</f>
        <v>-2</v>
      </c>
      <c r="B36" s="21" t="n">
        <f aca="false">IF(M36="","",M36)</f>
        <v>37</v>
      </c>
      <c r="C36" s="22"/>
      <c r="D36" s="22"/>
      <c r="E36" s="22"/>
      <c r="F36" s="22"/>
      <c r="G36" s="22"/>
      <c r="H36" s="22"/>
      <c r="I36" s="23" t="n">
        <f aca="false">IF(B36="",0,SQRT(B36*2^N(A36)))</f>
        <v>3.04138126514911</v>
      </c>
      <c r="L36" s="24" t="n">
        <f aca="false">L35+1</f>
        <v>21</v>
      </c>
      <c r="M36" s="24" t="n">
        <f aca="false">IF(L36&gt;=$O$7,"",IF($O$9-$O$8+1&lt;=$O$7,IF($O$8+L36&lt;=$O$9,$O$8+L36,""),IF(L36&lt;$O$10,$O$8+L36,ROUND($O$11*$O$12^(L36-$O$10+1),0))))</f>
        <v>37</v>
      </c>
      <c r="N36" s="24" t="n">
        <f aca="false">IF(M36="","",M36-M35)</f>
        <v>4</v>
      </c>
      <c r="O36" s="13" t="n">
        <f aca="false">IF(M36="","",SQRT(M36*2^$O$4))</f>
        <v>3.04138126514911</v>
      </c>
      <c r="Q36" s="25" t="n">
        <v>22</v>
      </c>
      <c r="R36" s="25" t="n">
        <f aca="false">$O$8+Q36-1</f>
        <v>22</v>
      </c>
      <c r="S36" s="26" t="n">
        <f aca="false">IF(Q36&lt;=$O$7-1,($O$9/R36)^(1/($O$7-Q36)),"")</f>
        <v>1.14607244616126</v>
      </c>
      <c r="T36" s="25" t="n">
        <f aca="false">IF(S36="",0,IF(R36*(S36-1)&gt;=1,1,0))</f>
        <v>1</v>
      </c>
    </row>
    <row r="37" customFormat="false" ht="15" hidden="false" customHeight="false" outlineLevel="0" collapsed="false">
      <c r="A37" s="13" t="n">
        <f aca="false">IF(B37="","",$J$11-$J$8)</f>
        <v>-2</v>
      </c>
      <c r="B37" s="21" t="n">
        <f aca="false">IF(M37="","",M37)</f>
        <v>41</v>
      </c>
      <c r="C37" s="22"/>
      <c r="D37" s="22"/>
      <c r="E37" s="22"/>
      <c r="F37" s="22"/>
      <c r="G37" s="22"/>
      <c r="H37" s="22"/>
      <c r="I37" s="23" t="n">
        <f aca="false">IF(B37="",0,SQRT(B37*2^N(A37)))</f>
        <v>3.20156211871642</v>
      </c>
      <c r="L37" s="24" t="n">
        <f aca="false">L36+1</f>
        <v>22</v>
      </c>
      <c r="M37" s="24" t="n">
        <f aca="false">IF(L37&gt;=$O$7,"",IF($O$9-$O$8+1&lt;=$O$7,IF($O$8+L37&lt;=$O$9,$O$8+L37,""),IF(L37&lt;$O$10,$O$8+L37,ROUND($O$11*$O$12^(L37-$O$10+1),0))))</f>
        <v>41</v>
      </c>
      <c r="N37" s="24" t="n">
        <f aca="false">IF(M37="","",M37-M36)</f>
        <v>4</v>
      </c>
      <c r="O37" s="13" t="n">
        <f aca="false">IF(M37="","",SQRT(M37*2^$O$4))</f>
        <v>3.20156211871642</v>
      </c>
      <c r="Q37" s="25" t="n">
        <v>23</v>
      </c>
      <c r="R37" s="25" t="n">
        <f aca="false">$O$8+Q37-1</f>
        <v>23</v>
      </c>
      <c r="S37" s="26" t="n">
        <f aca="false">IF(Q37&lt;=$O$7-1,($O$9/R37)^(1/($O$7-Q37)),"")</f>
        <v>1.15228401451783</v>
      </c>
      <c r="T37" s="25" t="n">
        <f aca="false">IF(S37="",0,IF(R37*(S37-1)&gt;=1,1,0))</f>
        <v>1</v>
      </c>
    </row>
    <row r="38" customFormat="false" ht="15" hidden="false" customHeight="false" outlineLevel="0" collapsed="false">
      <c r="A38" s="13" t="n">
        <f aca="false">IF(B38="","",$J$11-$J$8)</f>
        <v>-2</v>
      </c>
      <c r="B38" s="21" t="n">
        <f aca="false">IF(M38="","",M38)</f>
        <v>45</v>
      </c>
      <c r="C38" s="22"/>
      <c r="D38" s="22"/>
      <c r="E38" s="22"/>
      <c r="F38" s="22"/>
      <c r="G38" s="22"/>
      <c r="H38" s="22"/>
      <c r="I38" s="23" t="n">
        <f aca="false">IF(B38="",0,SQRT(B38*2^N(A38)))</f>
        <v>3.35410196624968</v>
      </c>
      <c r="L38" s="24" t="n">
        <f aca="false">L37+1</f>
        <v>23</v>
      </c>
      <c r="M38" s="24" t="n">
        <f aca="false">IF(L38&gt;=$O$7,"",IF($O$9-$O$8+1&lt;=$O$7,IF($O$8+L38&lt;=$O$9,$O$8+L38,""),IF(L38&lt;$O$10,$O$8+L38,ROUND($O$11*$O$12^(L38-$O$10+1),0))))</f>
        <v>45</v>
      </c>
      <c r="N38" s="24" t="n">
        <f aca="false">IF(M38="","",M38-M37)</f>
        <v>4</v>
      </c>
      <c r="O38" s="13" t="n">
        <f aca="false">IF(M38="","",SQRT(M38*2^$O$4))</f>
        <v>3.35410196624968</v>
      </c>
      <c r="Q38" s="25" t="n">
        <v>24</v>
      </c>
      <c r="R38" s="25" t="n">
        <f aca="false">$O$8+Q38-1</f>
        <v>24</v>
      </c>
      <c r="S38" s="26" t="n">
        <f aca="false">IF(Q38&lt;=$O$7-1,($O$9/R38)^(1/($O$7-Q38)),"")</f>
        <v>1.15944938680754</v>
      </c>
      <c r="T38" s="25" t="n">
        <f aca="false">IF(S38="",0,IF(R38*(S38-1)&gt;=1,1,0))</f>
        <v>1</v>
      </c>
    </row>
    <row r="39" customFormat="false" ht="15" hidden="false" customHeight="false" outlineLevel="0" collapsed="false">
      <c r="A39" s="13" t="n">
        <f aca="false">IF(B39="","",$J$11-$J$8)</f>
        <v>-2</v>
      </c>
      <c r="B39" s="21" t="n">
        <f aca="false">IF(M39="","",M39)</f>
        <v>51</v>
      </c>
      <c r="C39" s="22"/>
      <c r="D39" s="22"/>
      <c r="E39" s="22"/>
      <c r="F39" s="22"/>
      <c r="G39" s="22"/>
      <c r="H39" s="22"/>
      <c r="I39" s="23" t="n">
        <f aca="false">IF(B39="",0,SQRT(B39*2^N(A39)))</f>
        <v>3.57071421427143</v>
      </c>
      <c r="L39" s="24" t="n">
        <f aca="false">L38+1</f>
        <v>24</v>
      </c>
      <c r="M39" s="24" t="n">
        <f aca="false">IF(L39&gt;=$O$7,"",IF($O$9-$O$8+1&lt;=$O$7,IF($O$8+L39&lt;=$O$9,$O$8+L39,""),IF(L39&lt;$O$10,$O$8+L39,ROUND($O$11*$O$12^(L39-$O$10+1),0))))</f>
        <v>51</v>
      </c>
      <c r="N39" s="24" t="n">
        <f aca="false">IF(M39="","",M39-M38)</f>
        <v>6</v>
      </c>
      <c r="O39" s="13" t="n">
        <f aca="false">IF(M39="","",SQRT(M39*2^$O$4))</f>
        <v>3.57071421427143</v>
      </c>
      <c r="Q39" s="25" t="n">
        <v>25</v>
      </c>
      <c r="R39" s="25" t="n">
        <f aca="false">$O$8+Q39-1</f>
        <v>25</v>
      </c>
      <c r="S39" s="26" t="n">
        <f aca="false">IF(Q39&lt;=$O$7-1,($O$9/R39)^(1/($O$7-Q39)),"")</f>
        <v>1.16775928860149</v>
      </c>
      <c r="T39" s="25" t="n">
        <f aca="false">IF(S39="",0,IF(R39*(S39-1)&gt;=1,1,0))</f>
        <v>1</v>
      </c>
    </row>
    <row r="40" customFormat="false" ht="15" hidden="false" customHeight="false" outlineLevel="0" collapsed="false">
      <c r="A40" s="13" t="n">
        <f aca="false">IF(B40="","",$J$11-$J$8)</f>
        <v>-2</v>
      </c>
      <c r="B40" s="21" t="n">
        <f aca="false">IF(M40="","",M40)</f>
        <v>56</v>
      </c>
      <c r="C40" s="22"/>
      <c r="D40" s="22"/>
      <c r="E40" s="22"/>
      <c r="F40" s="22"/>
      <c r="G40" s="22"/>
      <c r="H40" s="22"/>
      <c r="I40" s="23" t="n">
        <f aca="false">IF(B40="",0,SQRT(B40*2^N(A40)))</f>
        <v>3.74165738677394</v>
      </c>
      <c r="L40" s="24" t="n">
        <f aca="false">L39+1</f>
        <v>25</v>
      </c>
      <c r="M40" s="24" t="n">
        <f aca="false">IF(L40&gt;=$O$7,"",IF($O$9-$O$8+1&lt;=$O$7,IF($O$8+L40&lt;=$O$9,$O$8+L40,""),IF(L40&lt;$O$10,$O$8+L40,ROUND($O$11*$O$12^(L40-$O$10+1),0))))</f>
        <v>56</v>
      </c>
      <c r="N40" s="24" t="n">
        <f aca="false">IF(M40="","",M40-M39)</f>
        <v>5</v>
      </c>
      <c r="O40" s="13" t="n">
        <f aca="false">IF(M40="","",SQRT(M40*2^$O$4))</f>
        <v>3.74165738677394</v>
      </c>
      <c r="Q40" s="25" t="n">
        <v>26</v>
      </c>
      <c r="R40" s="25" t="n">
        <f aca="false">$O$8+Q40-1</f>
        <v>26</v>
      </c>
      <c r="S40" s="26" t="n">
        <f aca="false">IF(Q40&lt;=$O$7-1,($O$9/R40)^(1/($O$7-Q40)),"")</f>
        <v>1.17746393959281</v>
      </c>
      <c r="T40" s="25" t="n">
        <f aca="false">IF(S40="",0,IF(R40*(S40-1)&gt;=1,1,0))</f>
        <v>1</v>
      </c>
    </row>
    <row r="41" customFormat="false" ht="15" hidden="false" customHeight="false" outlineLevel="0" collapsed="false">
      <c r="A41" s="13" t="n">
        <f aca="false">IF(B41="","",$J$11-$J$8)</f>
        <v>-2</v>
      </c>
      <c r="B41" s="21" t="n">
        <f aca="false">IF(M41="","",M41)</f>
        <v>63</v>
      </c>
      <c r="C41" s="22"/>
      <c r="D41" s="22"/>
      <c r="E41" s="22"/>
      <c r="F41" s="22"/>
      <c r="G41" s="22"/>
      <c r="H41" s="22"/>
      <c r="I41" s="23" t="n">
        <f aca="false">IF(B41="",0,SQRT(B41*2^N(A41)))</f>
        <v>3.96862696659689</v>
      </c>
      <c r="L41" s="24" t="n">
        <f aca="false">L40+1</f>
        <v>26</v>
      </c>
      <c r="M41" s="24" t="n">
        <f aca="false">IF(L41&gt;=$O$7,"",IF($O$9-$O$8+1&lt;=$O$7,IF($O$8+L41&lt;=$O$9,$O$8+L41,""),IF(L41&lt;$O$10,$O$8+L41,ROUND($O$11*$O$12^(L41-$O$10+1),0))))</f>
        <v>63</v>
      </c>
      <c r="N41" s="24" t="n">
        <f aca="false">IF(M41="","",M41-M40)</f>
        <v>7</v>
      </c>
      <c r="O41" s="13" t="n">
        <f aca="false">IF(M41="","",SQRT(M41*2^$O$4))</f>
        <v>3.96862696659689</v>
      </c>
      <c r="Q41" s="25" t="n">
        <v>27</v>
      </c>
      <c r="R41" s="25" t="n">
        <f aca="false">$O$8+Q41-1</f>
        <v>27</v>
      </c>
      <c r="S41" s="26" t="n">
        <f aca="false">IF(Q41&lt;=$O$7-1,($O$9/R41)^(1/($O$7-Q41)),"")</f>
        <v>1.18889725181551</v>
      </c>
      <c r="T41" s="25" t="n">
        <f aca="false">IF(S41="",0,IF(R41*(S41-1)&gt;=1,1,0))</f>
        <v>1</v>
      </c>
    </row>
    <row r="42" customFormat="false" ht="15" hidden="false" customHeight="false" outlineLevel="0" collapsed="false">
      <c r="A42" s="13" t="n">
        <f aca="false">IF(B42="","",$J$11-$J$8)</f>
        <v>-2</v>
      </c>
      <c r="B42" s="21" t="n">
        <f aca="false">IF(M42="","",M42)</f>
        <v>70</v>
      </c>
      <c r="C42" s="22"/>
      <c r="D42" s="22"/>
      <c r="E42" s="22"/>
      <c r="F42" s="22"/>
      <c r="G42" s="22"/>
      <c r="H42" s="22"/>
      <c r="I42" s="23" t="n">
        <f aca="false">IF(B42="",0,SQRT(B42*2^N(A42)))</f>
        <v>4.18330013267038</v>
      </c>
      <c r="L42" s="24" t="n">
        <f aca="false">L41+1</f>
        <v>27</v>
      </c>
      <c r="M42" s="24" t="n">
        <f aca="false">IF(L42&gt;=$O$7,"",IF($O$9-$O$8+1&lt;=$O$7,IF($O$8+L42&lt;=$O$9,$O$8+L42,""),IF(L42&lt;$O$10,$O$8+L42,ROUND($O$11*$O$12^(L42-$O$10+1),0))))</f>
        <v>70</v>
      </c>
      <c r="N42" s="24" t="n">
        <f aca="false">IF(M42="","",M42-M41)</f>
        <v>7</v>
      </c>
      <c r="O42" s="13" t="n">
        <f aca="false">IF(M42="","",SQRT(M42*2^$O$4))</f>
        <v>4.18330013267038</v>
      </c>
      <c r="Q42" s="25" t="n">
        <v>28</v>
      </c>
      <c r="R42" s="25" t="n">
        <f aca="false">$O$8+Q42-1</f>
        <v>28</v>
      </c>
      <c r="S42" s="26" t="n">
        <f aca="false">IF(Q42&lt;=$O$7-1,($O$9/R42)^(1/($O$7-Q42)),"")</f>
        <v>1.20251405513573</v>
      </c>
      <c r="T42" s="25" t="n">
        <f aca="false">IF(S42="",0,IF(R42*(S42-1)&gt;=1,1,0))</f>
        <v>1</v>
      </c>
    </row>
    <row r="43" customFormat="false" ht="15" hidden="false" customHeight="false" outlineLevel="0" collapsed="false">
      <c r="A43" s="13" t="n">
        <f aca="false">IF(B43="","",$J$11-$J$8)</f>
        <v>-2</v>
      </c>
      <c r="B43" s="21" t="n">
        <f aca="false">IF(M43="","",M43)</f>
        <v>78</v>
      </c>
      <c r="C43" s="22"/>
      <c r="D43" s="22"/>
      <c r="E43" s="22"/>
      <c r="F43" s="22"/>
      <c r="G43" s="22"/>
      <c r="H43" s="22"/>
      <c r="I43" s="23" t="n">
        <f aca="false">IF(B43="",0,SQRT(B43*2^N(A43)))</f>
        <v>4.41588043316392</v>
      </c>
      <c r="L43" s="24" t="n">
        <f aca="false">L42+1</f>
        <v>28</v>
      </c>
      <c r="M43" s="24" t="n">
        <f aca="false">IF(L43&gt;=$O$7,"",IF($O$9-$O$8+1&lt;=$O$7,IF($O$8+L43&lt;=$O$9,$O$8+L43,""),IF(L43&lt;$O$10,$O$8+L43,ROUND($O$11*$O$12^(L43-$O$10+1),0))))</f>
        <v>78</v>
      </c>
      <c r="N43" s="24" t="n">
        <f aca="false">IF(M43="","",M43-M42)</f>
        <v>8</v>
      </c>
      <c r="O43" s="13" t="n">
        <f aca="false">IF(M43="","",SQRT(M43*2^$O$4))</f>
        <v>4.41588043316392</v>
      </c>
      <c r="Q43" s="25" t="n">
        <v>29</v>
      </c>
      <c r="R43" s="25" t="n">
        <f aca="false">$O$8+Q43-1</f>
        <v>29</v>
      </c>
      <c r="S43" s="26" t="n">
        <f aca="false">IF(Q43&lt;=$O$7-1,($O$9/R43)^(1/($O$7-Q43)),"")</f>
        <v>1.21894927503034</v>
      </c>
      <c r="T43" s="25" t="n">
        <f aca="false">IF(S43="",0,IF(R43*(S43-1)&gt;=1,1,0))</f>
        <v>1</v>
      </c>
    </row>
    <row r="44" customFormat="false" ht="15" hidden="false" customHeight="false" outlineLevel="0" collapsed="false">
      <c r="A44" s="13" t="n">
        <f aca="false">IF(B44="","",$J$11-$J$8)</f>
        <v>-2</v>
      </c>
      <c r="B44" s="21" t="n">
        <f aca="false">IF(M44="","",M44)</f>
        <v>87</v>
      </c>
      <c r="C44" s="22"/>
      <c r="D44" s="22"/>
      <c r="E44" s="22"/>
      <c r="F44" s="22"/>
      <c r="G44" s="22"/>
      <c r="H44" s="22"/>
      <c r="I44" s="23" t="n">
        <f aca="false">IF(B44="",0,SQRT(B44*2^N(A44)))</f>
        <v>4.66368952654441</v>
      </c>
      <c r="L44" s="24" t="n">
        <f aca="false">L43+1</f>
        <v>29</v>
      </c>
      <c r="M44" s="24" t="n">
        <f aca="false">IF(L44&gt;=$O$7,"",IF($O$9-$O$8+1&lt;=$O$7,IF($O$8+L44&lt;=$O$9,$O$8+L44,""),IF(L44&lt;$O$10,$O$8+L44,ROUND($O$11*$O$12^(L44-$O$10+1),0))))</f>
        <v>87</v>
      </c>
      <c r="N44" s="24" t="n">
        <f aca="false">IF(M44="","",M44-M43)</f>
        <v>9</v>
      </c>
      <c r="O44" s="13" t="n">
        <f aca="false">IF(M44="","",SQRT(M44*2^$O$4))</f>
        <v>4.66368952654441</v>
      </c>
      <c r="Q44" s="25" t="n">
        <v>30</v>
      </c>
      <c r="R44" s="25" t="n">
        <f aca="false">$O$8+Q44-1</f>
        <v>30</v>
      </c>
      <c r="S44" s="26" t="n">
        <f aca="false">IF(Q44&lt;=$O$7-1,($O$9/R44)^(1/($O$7-Q44)),"")</f>
        <v>1.23911573250827</v>
      </c>
      <c r="T44" s="25" t="n">
        <f aca="false">IF(S44="",0,IF(R44*(S44-1)&gt;=1,1,0))</f>
        <v>1</v>
      </c>
    </row>
    <row r="45" customFormat="false" ht="15" hidden="false" customHeight="false" outlineLevel="0" collapsed="false">
      <c r="A45" s="13" t="n">
        <f aca="false">IF(B45="","",$J$11-$J$8)</f>
        <v>-2</v>
      </c>
      <c r="B45" s="21" t="n">
        <f aca="false">IF(M45="","",M45)</f>
        <v>97</v>
      </c>
      <c r="C45" s="22"/>
      <c r="D45" s="22"/>
      <c r="E45" s="22"/>
      <c r="F45" s="22"/>
      <c r="G45" s="22"/>
      <c r="H45" s="22"/>
      <c r="I45" s="23" t="n">
        <f aca="false">IF(B45="",0,SQRT(B45*2^N(A45)))</f>
        <v>4.92442890089805</v>
      </c>
      <c r="L45" s="24" t="n">
        <f aca="false">L44+1</f>
        <v>30</v>
      </c>
      <c r="M45" s="24" t="n">
        <f aca="false">IF(L45&gt;=$O$7,"",IF($O$9-$O$8+1&lt;=$O$7,IF($O$8+L45&lt;=$O$9,$O$8+L45,""),IF(L45&lt;$O$10,$O$8+L45,ROUND($O$11*$O$12^(L45-$O$10+1),0))))</f>
        <v>97</v>
      </c>
      <c r="N45" s="24" t="n">
        <f aca="false">IF(M45="","",M45-M44)</f>
        <v>10</v>
      </c>
      <c r="O45" s="13" t="n">
        <f aca="false">IF(M45="","",SQRT(M45*2^$O$4))</f>
        <v>4.92442890089805</v>
      </c>
      <c r="Q45" s="25" t="n">
        <v>31</v>
      </c>
      <c r="R45" s="25" t="n">
        <f aca="false">$O$8+Q45-1</f>
        <v>31</v>
      </c>
      <c r="S45" s="26" t="n">
        <f aca="false">IF(Q45&lt;=$O$7-1,($O$9/R45)^(1/($O$7-Q45)),"")</f>
        <v>1.26437343773016</v>
      </c>
      <c r="T45" s="25" t="n">
        <f aca="false">IF(S45="",0,IF(R45*(S45-1)&gt;=1,1,0))</f>
        <v>1</v>
      </c>
    </row>
    <row r="46" customFormat="false" ht="15" hidden="false" customHeight="false" outlineLevel="0" collapsed="false">
      <c r="A46" s="13" t="n">
        <f aca="false">IF(B46="","",$J$11-$J$8)</f>
        <v>-2</v>
      </c>
      <c r="B46" s="21" t="n">
        <f aca="false">IF(M46="","",M46)</f>
        <v>108</v>
      </c>
      <c r="C46" s="22"/>
      <c r="D46" s="22"/>
      <c r="E46" s="22"/>
      <c r="F46" s="22"/>
      <c r="G46" s="22"/>
      <c r="H46" s="22"/>
      <c r="I46" s="23" t="n">
        <f aca="false">IF(B46="",0,SQRT(B46*2^N(A46)))</f>
        <v>5.19615242270663</v>
      </c>
      <c r="L46" s="24" t="n">
        <f aca="false">L45+1</f>
        <v>31</v>
      </c>
      <c r="M46" s="24" t="n">
        <f aca="false">IF(L46&gt;=$O$7,"",IF($O$9-$O$8+1&lt;=$O$7,IF($O$8+L46&lt;=$O$9,$O$8+L46,""),IF(L46&lt;$O$10,$O$8+L46,ROUND($O$11*$O$12^(L46-$O$10+1),0))))</f>
        <v>108</v>
      </c>
      <c r="N46" s="24" t="n">
        <f aca="false">IF(M46="","",M46-M45)</f>
        <v>11</v>
      </c>
      <c r="O46" s="13" t="n">
        <f aca="false">IF(M46="","",SQRT(M46*2^$O$4))</f>
        <v>5.19615242270663</v>
      </c>
      <c r="Q46" s="25" t="n">
        <v>32</v>
      </c>
      <c r="R46" s="25" t="n">
        <f aca="false">$O$8+Q46-1</f>
        <v>32</v>
      </c>
      <c r="S46" s="26" t="n">
        <f aca="false">IF(Q46&lt;=$O$7-1,($O$9/R46)^(1/($O$7-Q46)),"")</f>
        <v>1.29683955465101</v>
      </c>
      <c r="T46" s="25" t="n">
        <f aca="false">IF(S46="",0,IF(R46*(S46-1)&gt;=1,1,0))</f>
        <v>1</v>
      </c>
    </row>
    <row r="47" customFormat="false" ht="15" hidden="false" customHeight="false" outlineLevel="0" collapsed="false">
      <c r="A47" s="13" t="n">
        <f aca="false">IF(B47="","",$J$11-$J$8)</f>
        <v>-2</v>
      </c>
      <c r="B47" s="21" t="n">
        <f aca="false">IF(M47="","",M47)</f>
        <v>120</v>
      </c>
      <c r="C47" s="22"/>
      <c r="D47" s="22"/>
      <c r="E47" s="22"/>
      <c r="F47" s="22"/>
      <c r="G47" s="22"/>
      <c r="H47" s="22"/>
      <c r="I47" s="23" t="n">
        <f aca="false">IF(B47="",0,SQRT(B47*2^N(A47)))</f>
        <v>5.47722557505166</v>
      </c>
      <c r="L47" s="24" t="n">
        <f aca="false">L46+1</f>
        <v>32</v>
      </c>
      <c r="M47" s="24" t="n">
        <f aca="false">IF(L47&gt;=$O$7,"",IF($O$9-$O$8+1&lt;=$O$7,IF($O$8+L47&lt;=$O$9,$O$8+L47,""),IF(L47&lt;$O$10,$O$8+L47,ROUND($O$11*$O$12^(L47-$O$10+1),0))))</f>
        <v>120</v>
      </c>
      <c r="N47" s="24" t="n">
        <f aca="false">IF(M47="","",M47-M46)</f>
        <v>12</v>
      </c>
      <c r="O47" s="13" t="n">
        <f aca="false">IF(M47="","",SQRT(M47*2^$O$4))</f>
        <v>5.47722557505166</v>
      </c>
      <c r="Q47" s="25" t="n">
        <v>33</v>
      </c>
      <c r="R47" s="25" t="n">
        <f aca="false">$O$8+Q47-1</f>
        <v>33</v>
      </c>
      <c r="S47" s="26" t="n">
        <f aca="false">IF(Q47&lt;=$O$7-1,($O$9/R47)^(1/($O$7-Q47)),"")</f>
        <v>1.3399966663279</v>
      </c>
      <c r="T47" s="25" t="n">
        <f aca="false">IF(S47="",0,IF(R47*(S47-1)&gt;=1,1,0))</f>
        <v>1</v>
      </c>
    </row>
    <row r="48" customFormat="false" ht="15" hidden="false" customHeight="false" outlineLevel="0" collapsed="false">
      <c r="A48" s="13" t="n">
        <f aca="false">IF(B48="","",$J$11-$J$8)</f>
        <v>-2</v>
      </c>
      <c r="B48" s="21" t="n">
        <f aca="false">IF(M48="","",M48)</f>
        <v>134</v>
      </c>
      <c r="C48" s="22"/>
      <c r="D48" s="22"/>
      <c r="E48" s="22"/>
      <c r="F48" s="22"/>
      <c r="G48" s="22"/>
      <c r="H48" s="22"/>
      <c r="I48" s="23" t="n">
        <f aca="false">IF(B48="",0,SQRT(B48*2^N(A48)))</f>
        <v>5.78791845139511</v>
      </c>
      <c r="L48" s="24" t="n">
        <f aca="false">L47+1</f>
        <v>33</v>
      </c>
      <c r="M48" s="24" t="n">
        <f aca="false">IF(L48&gt;=$O$7,"",IF($O$9-$O$8+1&lt;=$O$7,IF($O$8+L48&lt;=$O$9,$O$8+L48,""),IF(L48&lt;$O$10,$O$8+L48,ROUND($O$11*$O$12^(L48-$O$10+1),0))))</f>
        <v>134</v>
      </c>
      <c r="N48" s="24" t="n">
        <f aca="false">IF(M48="","",M48-M47)</f>
        <v>14</v>
      </c>
      <c r="O48" s="13" t="n">
        <f aca="false">IF(M48="","",SQRT(M48*2^$O$4))</f>
        <v>5.78791845139511</v>
      </c>
      <c r="Q48" s="25" t="n">
        <v>34</v>
      </c>
      <c r="R48" s="25" t="n">
        <f aca="false">$O$8+Q48-1</f>
        <v>34</v>
      </c>
      <c r="S48" s="26" t="n">
        <f aca="false">IF(Q48&lt;=$O$7-1,($O$9/R48)^(1/($O$7-Q48)),"")</f>
        <v>1.39999615003706</v>
      </c>
      <c r="T48" s="25" t="n">
        <f aca="false">IF(S48="",0,IF(R48*(S48-1)&gt;=1,1,0))</f>
        <v>1</v>
      </c>
    </row>
    <row r="49" customFormat="false" ht="15" hidden="false" customHeight="false" outlineLevel="0" collapsed="false">
      <c r="A49" s="13" t="n">
        <f aca="false">IF(B49="","",$J$11-$J$8)</f>
        <v>-2</v>
      </c>
      <c r="B49" s="21" t="n">
        <f aca="false">IF(M49="","",M49)</f>
        <v>149</v>
      </c>
      <c r="C49" s="22"/>
      <c r="D49" s="22"/>
      <c r="E49" s="22"/>
      <c r="F49" s="22"/>
      <c r="G49" s="22"/>
      <c r="H49" s="22"/>
      <c r="I49" s="23" t="n">
        <f aca="false">IF(B49="",0,SQRT(B49*2^N(A49)))</f>
        <v>6.10327780786685</v>
      </c>
      <c r="L49" s="24" t="n">
        <f aca="false">L48+1</f>
        <v>34</v>
      </c>
      <c r="M49" s="24" t="n">
        <f aca="false">IF(L49&gt;=$O$7,"",IF($O$9-$O$8+1&lt;=$O$7,IF($O$8+L49&lt;=$O$9,$O$8+L49,""),IF(L49&lt;$O$10,$O$8+L49,ROUND($O$11*$O$12^(L49-$O$10+1),0))))</f>
        <v>149</v>
      </c>
      <c r="N49" s="24" t="n">
        <f aca="false">IF(M49="","",M49-M48)</f>
        <v>15</v>
      </c>
      <c r="O49" s="13" t="n">
        <f aca="false">IF(M49="","",SQRT(M49*2^$O$4))</f>
        <v>6.10327780786685</v>
      </c>
      <c r="Q49" s="25" t="n">
        <v>35</v>
      </c>
      <c r="R49" s="25" t="n">
        <f aca="false">$O$8+Q49-1</f>
        <v>35</v>
      </c>
      <c r="S49" s="26" t="n">
        <f aca="false">IF(Q49&lt;=$O$7-1,($O$9/R49)^(1/($O$7-Q49)),"")</f>
        <v>1.48879322635077</v>
      </c>
      <c r="T49" s="25" t="n">
        <f aca="false">IF(S49="",0,IF(R49*(S49-1)&gt;=1,1,0))</f>
        <v>1</v>
      </c>
    </row>
    <row r="50" customFormat="false" ht="15" hidden="false" customHeight="false" outlineLevel="0" collapsed="false">
      <c r="A50" s="13" t="n">
        <f aca="false">IF(B50="","",$J$11-$J$8)</f>
        <v>-2</v>
      </c>
      <c r="B50" s="21" t="n">
        <f aca="false">IF(M50="","",M50)</f>
        <v>166</v>
      </c>
      <c r="C50" s="22"/>
      <c r="D50" s="22"/>
      <c r="E50" s="22"/>
      <c r="F50" s="22"/>
      <c r="G50" s="22"/>
      <c r="H50" s="22"/>
      <c r="I50" s="23" t="n">
        <f aca="false">IF(B50="",0,SQRT(B50*2^N(A50)))</f>
        <v>6.44204936336256</v>
      </c>
      <c r="L50" s="24" t="n">
        <f aca="false">L49+1</f>
        <v>35</v>
      </c>
      <c r="M50" s="24" t="n">
        <f aca="false">IF(L50&gt;=$O$7,"",IF($O$9-$O$8+1&lt;=$O$7,IF($O$8+L50&lt;=$O$9,$O$8+L50,""),IF(L50&lt;$O$10,$O$8+L50,ROUND($O$11*$O$12^(L50-$O$10+1),0))))</f>
        <v>166</v>
      </c>
      <c r="N50" s="24" t="n">
        <f aca="false">IF(M50="","",M50-M49)</f>
        <v>17</v>
      </c>
      <c r="O50" s="13" t="n">
        <f aca="false">IF(M50="","",SQRT(M50*2^$O$4))</f>
        <v>6.44204936336256</v>
      </c>
      <c r="Q50" s="25" t="n">
        <v>36</v>
      </c>
      <c r="R50" s="25" t="n">
        <f aca="false">$O$8+Q50-1</f>
        <v>36</v>
      </c>
      <c r="S50" s="26" t="n">
        <f aca="false">IF(Q50&lt;=$O$7-1,($O$9/R50)^(1/($O$7-Q50)),"")</f>
        <v>1.63299316185545</v>
      </c>
      <c r="T50" s="25" t="n">
        <f aca="false">IF(S50="",0,IF(R50*(S50-1)&gt;=1,1,0))</f>
        <v>1</v>
      </c>
    </row>
    <row r="51" customFormat="false" ht="15" hidden="false" customHeight="false" outlineLevel="0" collapsed="false">
      <c r="A51" s="13" t="n">
        <f aca="false">IF(B51="","",$J$11-$J$8)</f>
        <v>-2</v>
      </c>
      <c r="B51" s="21" t="n">
        <f aca="false">IF(M51="","",M51)</f>
        <v>185</v>
      </c>
      <c r="C51" s="22"/>
      <c r="D51" s="22"/>
      <c r="E51" s="22"/>
      <c r="F51" s="22"/>
      <c r="G51" s="22"/>
      <c r="H51" s="22"/>
      <c r="I51" s="23" t="n">
        <f aca="false">IF(B51="",0,SQRT(B51*2^N(A51)))</f>
        <v>6.80073525436772</v>
      </c>
      <c r="L51" s="24" t="n">
        <f aca="false">L50+1</f>
        <v>36</v>
      </c>
      <c r="M51" s="24" t="n">
        <f aca="false">IF(L51&gt;=$O$7,"",IF($O$9-$O$8+1&lt;=$O$7,IF($O$8+L51&lt;=$O$9,$O$8+L51,""),IF(L51&lt;$O$10,$O$8+L51,ROUND($O$11*$O$12^(L51-$O$10+1),0))))</f>
        <v>185</v>
      </c>
      <c r="N51" s="24" t="n">
        <f aca="false">IF(M51="","",M51-M50)</f>
        <v>19</v>
      </c>
      <c r="O51" s="13" t="n">
        <f aca="false">IF(M51="","",SQRT(M51*2^$O$4))</f>
        <v>6.80073525436772</v>
      </c>
      <c r="Q51" s="25" t="n">
        <v>37</v>
      </c>
      <c r="R51" s="25" t="n">
        <f aca="false">$O$8+Q51-1</f>
        <v>37</v>
      </c>
      <c r="S51" s="26" t="n">
        <f aca="false">IF(Q51&lt;=$O$7-1,($O$9/R51)^(1/($O$7-Q51)),"")</f>
        <v>1.90551664641909</v>
      </c>
      <c r="T51" s="25" t="n">
        <f aca="false">IF(S51="",0,IF(R51*(S51-1)&gt;=1,1,0))</f>
        <v>1</v>
      </c>
    </row>
    <row r="52" customFormat="false" ht="15" hidden="false" customHeight="false" outlineLevel="0" collapsed="false">
      <c r="A52" s="13" t="n">
        <f aca="false">IF(B52="","",$J$11-$J$8)</f>
        <v>-2</v>
      </c>
      <c r="B52" s="21" t="n">
        <f aca="false">IF(M52="","",M52)</f>
        <v>206</v>
      </c>
      <c r="C52" s="22"/>
      <c r="D52" s="22"/>
      <c r="E52" s="22"/>
      <c r="F52" s="22"/>
      <c r="G52" s="22"/>
      <c r="H52" s="22"/>
      <c r="I52" s="23" t="n">
        <f aca="false">IF(B52="",0,SQRT(B52*2^N(A52)))</f>
        <v>7.17635004720366</v>
      </c>
      <c r="L52" s="24" t="n">
        <f aca="false">L51+1</f>
        <v>37</v>
      </c>
      <c r="M52" s="24" t="n">
        <f aca="false">IF(L52&gt;=$O$7,"",IF($O$9-$O$8+1&lt;=$O$7,IF($O$8+L52&lt;=$O$9,$O$8+L52,""),IF(L52&lt;$O$10,$O$8+L52,ROUND($O$11*$O$12^(L52-$O$10+1),0))))</f>
        <v>206</v>
      </c>
      <c r="N52" s="24" t="n">
        <f aca="false">IF(M52="","",M52-M51)</f>
        <v>21</v>
      </c>
      <c r="O52" s="13" t="n">
        <f aca="false">IF(M52="","",SQRT(M52*2^$O$4))</f>
        <v>7.17635004720366</v>
      </c>
      <c r="Q52" s="25" t="n">
        <v>38</v>
      </c>
      <c r="R52" s="25" t="n">
        <f aca="false">$O$8+Q52-1</f>
        <v>38</v>
      </c>
      <c r="S52" s="26" t="n">
        <f aca="false">IF(Q52&lt;=$O$7-1,($O$9/R52)^(1/($O$7-Q52)),"")</f>
        <v>2.5955427380922</v>
      </c>
      <c r="T52" s="25" t="n">
        <f aca="false">IF(S52="",0,IF(R52*(S52-1)&gt;=1,1,0))</f>
        <v>1</v>
      </c>
    </row>
    <row r="53" customFormat="false" ht="15" hidden="false" customHeight="false" outlineLevel="0" collapsed="false">
      <c r="A53" s="13" t="n">
        <f aca="false">IF(B53="","",$J$11-$J$8)</f>
        <v>-2</v>
      </c>
      <c r="B53" s="21" t="n">
        <f aca="false">IF(M53="","",M53)</f>
        <v>230</v>
      </c>
      <c r="C53" s="22"/>
      <c r="D53" s="22"/>
      <c r="E53" s="22"/>
      <c r="F53" s="22"/>
      <c r="G53" s="22"/>
      <c r="H53" s="22"/>
      <c r="I53" s="23" t="n">
        <f aca="false">IF(B53="",0,SQRT(B53*2^N(A53)))</f>
        <v>7.58287544405155</v>
      </c>
      <c r="L53" s="24" t="n">
        <f aca="false">L52+1</f>
        <v>38</v>
      </c>
      <c r="M53" s="24" t="n">
        <f aca="false">IF(L53&gt;=$O$7,"",IF($O$9-$O$8+1&lt;=$O$7,IF($O$8+L53&lt;=$O$9,$O$8+L53,""),IF(L53&lt;$O$10,$O$8+L53,ROUND($O$11*$O$12^(L53-$O$10+1),0))))</f>
        <v>230</v>
      </c>
      <c r="N53" s="24" t="n">
        <f aca="false">IF(M53="","",M53-M52)</f>
        <v>24</v>
      </c>
      <c r="O53" s="13" t="n">
        <f aca="false">IF(M53="","",SQRT(M53*2^$O$4))</f>
        <v>7.58287544405155</v>
      </c>
      <c r="Q53" s="25" t="n">
        <v>39</v>
      </c>
      <c r="R53" s="25" t="n">
        <f aca="false">$O$8+Q53-1</f>
        <v>39</v>
      </c>
      <c r="S53" s="26" t="n">
        <f aca="false">IF(Q53&lt;=$O$7-1,($O$9/R53)^(1/($O$7-Q53)),"")</f>
        <v>6.56410256410256</v>
      </c>
      <c r="T53" s="25" t="n">
        <f aca="false">IF(S53="",0,IF(R53*(S53-1)&gt;=1,1,0))</f>
        <v>1</v>
      </c>
    </row>
    <row r="54" customFormat="false" ht="15" hidden="false" customHeight="false" outlineLevel="0" collapsed="false">
      <c r="A54" s="13" t="n">
        <f aca="false">IF(B54="","",$J$11-$J$8)</f>
        <v>-2</v>
      </c>
      <c r="B54" s="21" t="n">
        <f aca="false">IF(M54="","",M54)</f>
        <v>256</v>
      </c>
      <c r="C54" s="22"/>
      <c r="D54" s="22"/>
      <c r="E54" s="22"/>
      <c r="F54" s="22"/>
      <c r="G54" s="22"/>
      <c r="H54" s="22"/>
      <c r="I54" s="23" t="n">
        <f aca="false">IF(B54="",0,SQRT(B54*2^N(A54)))</f>
        <v>8</v>
      </c>
      <c r="L54" s="24" t="n">
        <f aca="false">L53+1</f>
        <v>39</v>
      </c>
      <c r="M54" s="24" t="n">
        <f aca="false">IF(L54&gt;=$O$7,"",IF($O$9-$O$8+1&lt;=$O$7,IF($O$8+L54&lt;=$O$9,$O$8+L54,""),IF(L54&lt;$O$10,$O$8+L54,ROUND($O$11*$O$12^(L54-$O$10+1),0))))</f>
        <v>256</v>
      </c>
      <c r="N54" s="24" t="n">
        <f aca="false">IF(M54="","",M54-M53)</f>
        <v>26</v>
      </c>
      <c r="O54" s="13" t="n">
        <f aca="false">IF(M54="","",SQRT(M54*2^$O$4))</f>
        <v>8</v>
      </c>
      <c r="Q54" s="25" t="n">
        <v>40</v>
      </c>
      <c r="R54" s="25" t="n">
        <f aca="false">$O$8+Q54-1</f>
        <v>40</v>
      </c>
      <c r="S54" s="26" t="str">
        <f aca="false">IF(Q54&lt;=$O$7-1,($O$9/R54)^(1/($O$7-Q54)),"")</f>
        <v/>
      </c>
      <c r="T54" s="25" t="n">
        <f aca="false">IF(S54="",0,IF(R54*(S54-1)&gt;=1,1,0))</f>
        <v>0</v>
      </c>
    </row>
    <row r="55" customFormat="false" ht="15" hidden="false" customHeight="false" outlineLevel="0" collapsed="false">
      <c r="A55" s="13" t="str">
        <f aca="false">IF(B55="","",$J$11-$J$8)</f>
        <v/>
      </c>
      <c r="B55" s="22" t="str">
        <f aca="false">IF(M55="","",M55)</f>
        <v/>
      </c>
      <c r="C55" s="22"/>
      <c r="D55" s="22"/>
      <c r="E55" s="22"/>
      <c r="F55" s="22"/>
      <c r="G55" s="22"/>
      <c r="H55" s="22"/>
      <c r="I55" s="23" t="n">
        <f aca="false">IF(B55="",0,SQRT(B55*2^N(A55)))</f>
        <v>0</v>
      </c>
      <c r="L55" s="24" t="n">
        <f aca="false">L54+1</f>
        <v>40</v>
      </c>
      <c r="M55" s="24" t="str">
        <f aca="false">IF(L55&gt;=$O$7,"",IF($O$9-$O$8+1&lt;=$O$7,IF($O$8+L55&lt;=$O$9,$O$8+L55,""),IF(L55&lt;$O$10,$O$8+L55,ROUND($O$11*$O$12^(L55-$O$10+1),0))))</f>
        <v/>
      </c>
      <c r="N55" s="24" t="str">
        <f aca="false">IF(M55="","",M55-M54)</f>
        <v/>
      </c>
      <c r="O55" s="13" t="str">
        <f aca="false">IF(M55="","",SQRT(M55*2^$O$4))</f>
        <v/>
      </c>
      <c r="Q55" s="25" t="n">
        <v>41</v>
      </c>
      <c r="R55" s="25" t="n">
        <f aca="false">$O$8+Q55-1</f>
        <v>41</v>
      </c>
      <c r="S55" s="26" t="str">
        <f aca="false">IF(Q55&lt;=$O$7-1,($O$9/R55)^(1/($O$7-Q55)),"")</f>
        <v/>
      </c>
      <c r="T55" s="25" t="n">
        <f aca="false">IF(S55="",0,IF(R55*(S55-1)&gt;=1,1,0))</f>
        <v>0</v>
      </c>
    </row>
    <row r="56" customFormat="false" ht="15" hidden="false" customHeight="false" outlineLevel="0" collapsed="false">
      <c r="A56" s="13" t="str">
        <f aca="false">IF(B56="","",$J$11-$J$8)</f>
        <v/>
      </c>
      <c r="B56" s="22" t="str">
        <f aca="false">IF(M56="","",M56)</f>
        <v/>
      </c>
      <c r="C56" s="22"/>
      <c r="D56" s="22"/>
      <c r="E56" s="22"/>
      <c r="F56" s="22"/>
      <c r="G56" s="22"/>
      <c r="H56" s="22"/>
      <c r="I56" s="23" t="n">
        <f aca="false">IF(B56="",0,SQRT(B56*2^N(A56)))</f>
        <v>0</v>
      </c>
      <c r="L56" s="24" t="n">
        <f aca="false">L55+1</f>
        <v>41</v>
      </c>
      <c r="M56" s="24" t="str">
        <f aca="false">IF(L56&gt;=$O$7,"",IF($O$9-$O$8+1&lt;=$O$7,IF($O$8+L56&lt;=$O$9,$O$8+L56,""),IF(L56&lt;$O$10,$O$8+L56,ROUND($O$11*$O$12^(L56-$O$10+1),0))))</f>
        <v/>
      </c>
      <c r="N56" s="24" t="str">
        <f aca="false">IF(M56="","",M56-M55)</f>
        <v/>
      </c>
      <c r="O56" s="13" t="str">
        <f aca="false">IF(M56="","",SQRT(M56*2^$O$4))</f>
        <v/>
      </c>
      <c r="Q56" s="25" t="n">
        <v>42</v>
      </c>
      <c r="R56" s="25" t="n">
        <f aca="false">$O$8+Q56-1</f>
        <v>42</v>
      </c>
      <c r="S56" s="26" t="str">
        <f aca="false">IF(Q56&lt;=$O$7-1,($O$9/R56)^(1/($O$7-Q56)),"")</f>
        <v/>
      </c>
      <c r="T56" s="25" t="n">
        <f aca="false">IF(S56="",0,IF(R56*(S56-1)&gt;=1,1,0))</f>
        <v>0</v>
      </c>
    </row>
    <row r="57" customFormat="false" ht="15" hidden="false" customHeight="false" outlineLevel="0" collapsed="false">
      <c r="A57" s="13" t="str">
        <f aca="false">IF(B57="","",$J$11-$J$8)</f>
        <v/>
      </c>
      <c r="B57" s="22" t="str">
        <f aca="false">IF(M57="","",M57)</f>
        <v/>
      </c>
      <c r="C57" s="22"/>
      <c r="D57" s="22"/>
      <c r="E57" s="22"/>
      <c r="F57" s="22"/>
      <c r="G57" s="22"/>
      <c r="H57" s="22"/>
      <c r="I57" s="23" t="n">
        <f aca="false">IF(B57="",0,SQRT(B57*2^N(A57)))</f>
        <v>0</v>
      </c>
      <c r="L57" s="24" t="n">
        <f aca="false">L56+1</f>
        <v>42</v>
      </c>
      <c r="M57" s="24" t="str">
        <f aca="false">IF(L57&gt;=$O$7,"",IF($O$9-$O$8+1&lt;=$O$7,IF($O$8+L57&lt;=$O$9,$O$8+L57,""),IF(L57&lt;$O$10,$O$8+L57,ROUND($O$11*$O$12^(L57-$O$10+1),0))))</f>
        <v/>
      </c>
      <c r="N57" s="24" t="str">
        <f aca="false">IF(M57="","",M57-M56)</f>
        <v/>
      </c>
      <c r="O57" s="13" t="str">
        <f aca="false">IF(M57="","",SQRT(M57*2^$O$4))</f>
        <v/>
      </c>
      <c r="Q57" s="25" t="n">
        <v>43</v>
      </c>
      <c r="R57" s="25" t="n">
        <f aca="false">$O$8+Q57-1</f>
        <v>43</v>
      </c>
      <c r="S57" s="26" t="str">
        <f aca="false">IF(Q57&lt;=$O$7-1,($O$9/R57)^(1/($O$7-Q57)),"")</f>
        <v/>
      </c>
      <c r="T57" s="25" t="n">
        <f aca="false">IF(S57="",0,IF(R57*(S57-1)&gt;=1,1,0))</f>
        <v>0</v>
      </c>
    </row>
    <row r="58" customFormat="false" ht="15" hidden="false" customHeight="false" outlineLevel="0" collapsed="false">
      <c r="A58" s="13" t="str">
        <f aca="false">IF(B58="","",$J$11-$J$8)</f>
        <v/>
      </c>
      <c r="B58" s="22" t="str">
        <f aca="false">IF(M58="","",M58)</f>
        <v/>
      </c>
      <c r="C58" s="22"/>
      <c r="D58" s="22"/>
      <c r="E58" s="22"/>
      <c r="F58" s="22"/>
      <c r="G58" s="22"/>
      <c r="H58" s="22"/>
      <c r="I58" s="23" t="n">
        <f aca="false">IF(B58="",0,SQRT(B58*2^N(A58)))</f>
        <v>0</v>
      </c>
      <c r="L58" s="24" t="n">
        <f aca="false">L57+1</f>
        <v>43</v>
      </c>
      <c r="M58" s="24" t="str">
        <f aca="false">IF(L58&gt;=$O$7,"",IF($O$9-$O$8+1&lt;=$O$7,IF($O$8+L58&lt;=$O$9,$O$8+L58,""),IF(L58&lt;$O$10,$O$8+L58,ROUND($O$11*$O$12^(L58-$O$10+1),0))))</f>
        <v/>
      </c>
      <c r="N58" s="24" t="str">
        <f aca="false">IF(M58="","",M58-M57)</f>
        <v/>
      </c>
      <c r="O58" s="13" t="str">
        <f aca="false">IF(M58="","",SQRT(M58*2^$O$4))</f>
        <v/>
      </c>
      <c r="Q58" s="25" t="n">
        <v>44</v>
      </c>
      <c r="R58" s="25" t="n">
        <f aca="false">$O$8+Q58-1</f>
        <v>44</v>
      </c>
      <c r="S58" s="26" t="str">
        <f aca="false">IF(Q58&lt;=$O$7-1,($O$9/R58)^(1/($O$7-Q58)),"")</f>
        <v/>
      </c>
      <c r="T58" s="25" t="n">
        <f aca="false">IF(S58="",0,IF(R58*(S58-1)&gt;=1,1,0))</f>
        <v>0</v>
      </c>
    </row>
    <row r="59" customFormat="false" ht="15" hidden="false" customHeight="false" outlineLevel="0" collapsed="false">
      <c r="A59" s="13" t="str">
        <f aca="false">IF(B59="","",$J$11-$J$8)</f>
        <v/>
      </c>
      <c r="B59" s="22" t="str">
        <f aca="false">IF(M59="","",M59)</f>
        <v/>
      </c>
      <c r="C59" s="22"/>
      <c r="D59" s="22"/>
      <c r="E59" s="22"/>
      <c r="F59" s="22"/>
      <c r="G59" s="22"/>
      <c r="H59" s="22"/>
      <c r="I59" s="23" t="n">
        <f aca="false">IF(B59="",0,SQRT(B59*2^N(A59)))</f>
        <v>0</v>
      </c>
      <c r="L59" s="24" t="n">
        <f aca="false">L58+1</f>
        <v>44</v>
      </c>
      <c r="M59" s="24" t="str">
        <f aca="false">IF(L59&gt;=$O$7,"",IF($O$9-$O$8+1&lt;=$O$7,IF($O$8+L59&lt;=$O$9,$O$8+L59,""),IF(L59&lt;$O$10,$O$8+L59,ROUND($O$11*$O$12^(L59-$O$10+1),0))))</f>
        <v/>
      </c>
      <c r="N59" s="24" t="str">
        <f aca="false">IF(M59="","",M59-M58)</f>
        <v/>
      </c>
      <c r="O59" s="13" t="str">
        <f aca="false">IF(M59="","",SQRT(M59*2^$O$4))</f>
        <v/>
      </c>
      <c r="Q59" s="25" t="n">
        <v>45</v>
      </c>
      <c r="R59" s="25" t="n">
        <f aca="false">$O$8+Q59-1</f>
        <v>45</v>
      </c>
      <c r="S59" s="26" t="str">
        <f aca="false">IF(Q59&lt;=$O$7-1,($O$9/R59)^(1/($O$7-Q59)),"")</f>
        <v/>
      </c>
      <c r="T59" s="25" t="n">
        <f aca="false">IF(S59="",0,IF(R59*(S59-1)&gt;=1,1,0))</f>
        <v>0</v>
      </c>
    </row>
    <row r="60" customFormat="false" ht="15" hidden="false" customHeight="false" outlineLevel="0" collapsed="false">
      <c r="A60" s="13" t="str">
        <f aca="false">IF(B60="","",$J$11-$J$8)</f>
        <v/>
      </c>
      <c r="B60" s="22" t="str">
        <f aca="false">IF(M60="","",M60)</f>
        <v/>
      </c>
      <c r="C60" s="22"/>
      <c r="D60" s="22"/>
      <c r="E60" s="22"/>
      <c r="F60" s="22"/>
      <c r="G60" s="22"/>
      <c r="H60" s="22"/>
      <c r="I60" s="23" t="n">
        <f aca="false">IF(B60="",0,SQRT(B60*2^N(A60)))</f>
        <v>0</v>
      </c>
      <c r="L60" s="24" t="n">
        <f aca="false">L59+1</f>
        <v>45</v>
      </c>
      <c r="M60" s="24" t="str">
        <f aca="false">IF(L60&gt;=$O$7,"",IF($O$9-$O$8+1&lt;=$O$7,IF($O$8+L60&lt;=$O$9,$O$8+L60,""),IF(L60&lt;$O$10,$O$8+L60,ROUND($O$11*$O$12^(L60-$O$10+1),0))))</f>
        <v/>
      </c>
      <c r="N60" s="24" t="str">
        <f aca="false">IF(M60="","",M60-M59)</f>
        <v/>
      </c>
      <c r="O60" s="13" t="str">
        <f aca="false">IF(M60="","",SQRT(M60*2^$O$4))</f>
        <v/>
      </c>
      <c r="Q60" s="25" t="n">
        <v>46</v>
      </c>
      <c r="R60" s="25" t="n">
        <f aca="false">$O$8+Q60-1</f>
        <v>46</v>
      </c>
      <c r="S60" s="26" t="str">
        <f aca="false">IF(Q60&lt;=$O$7-1,($O$9/R60)^(1/($O$7-Q60)),"")</f>
        <v/>
      </c>
      <c r="T60" s="25" t="n">
        <f aca="false">IF(S60="",0,IF(R60*(S60-1)&gt;=1,1,0))</f>
        <v>0</v>
      </c>
    </row>
    <row r="61" customFormat="false" ht="15" hidden="false" customHeight="false" outlineLevel="0" collapsed="false">
      <c r="A61" s="13" t="str">
        <f aca="false">IF(B61="","",$J$11-$J$8)</f>
        <v/>
      </c>
      <c r="B61" s="22" t="str">
        <f aca="false">IF(M61="","",M61)</f>
        <v/>
      </c>
      <c r="C61" s="22"/>
      <c r="D61" s="22"/>
      <c r="E61" s="22"/>
      <c r="F61" s="22"/>
      <c r="G61" s="22"/>
      <c r="H61" s="22"/>
      <c r="I61" s="23" t="n">
        <f aca="false">IF(B61="",0,SQRT(B61*2^N(A61)))</f>
        <v>0</v>
      </c>
      <c r="L61" s="24" t="n">
        <f aca="false">L60+1</f>
        <v>46</v>
      </c>
      <c r="M61" s="24" t="str">
        <f aca="false">IF(L61&gt;=$O$7,"",IF($O$9-$O$8+1&lt;=$O$7,IF($O$8+L61&lt;=$O$9,$O$8+L61,""),IF(L61&lt;$O$10,$O$8+L61,ROUND($O$11*$O$12^(L61-$O$10+1),0))))</f>
        <v/>
      </c>
      <c r="N61" s="24" t="str">
        <f aca="false">IF(M61="","",M61-M60)</f>
        <v/>
      </c>
      <c r="O61" s="13" t="str">
        <f aca="false">IF(M61="","",SQRT(M61*2^$O$4))</f>
        <v/>
      </c>
      <c r="Q61" s="25" t="n">
        <v>47</v>
      </c>
      <c r="R61" s="25" t="n">
        <f aca="false">$O$8+Q61-1</f>
        <v>47</v>
      </c>
      <c r="S61" s="26" t="str">
        <f aca="false">IF(Q61&lt;=$O$7-1,($O$9/R61)^(1/($O$7-Q61)),"")</f>
        <v/>
      </c>
      <c r="T61" s="25" t="n">
        <f aca="false">IF(S61="",0,IF(R61*(S61-1)&gt;=1,1,0))</f>
        <v>0</v>
      </c>
    </row>
    <row r="62" customFormat="false" ht="15" hidden="false" customHeight="false" outlineLevel="0" collapsed="false">
      <c r="A62" s="13" t="str">
        <f aca="false">IF(B62="","",$J$11-$J$8)</f>
        <v/>
      </c>
      <c r="B62" s="22" t="str">
        <f aca="false">IF(M62="","",M62)</f>
        <v/>
      </c>
      <c r="C62" s="22"/>
      <c r="D62" s="22"/>
      <c r="E62" s="22"/>
      <c r="F62" s="22"/>
      <c r="G62" s="22"/>
      <c r="H62" s="22"/>
      <c r="I62" s="23" t="n">
        <f aca="false">IF(B62="",0,SQRT(B62*2^N(A62)))</f>
        <v>0</v>
      </c>
      <c r="L62" s="24" t="n">
        <f aca="false">L61+1</f>
        <v>47</v>
      </c>
      <c r="M62" s="24" t="str">
        <f aca="false">IF(L62&gt;=$O$7,"",IF($O$9-$O$8+1&lt;=$O$7,IF($O$8+L62&lt;=$O$9,$O$8+L62,""),IF(L62&lt;$O$10,$O$8+L62,ROUND($O$11*$O$12^(L62-$O$10+1),0))))</f>
        <v/>
      </c>
      <c r="N62" s="24" t="str">
        <f aca="false">IF(M62="","",M62-M61)</f>
        <v/>
      </c>
      <c r="O62" s="13" t="str">
        <f aca="false">IF(M62="","",SQRT(M62*2^$O$4))</f>
        <v/>
      </c>
      <c r="Q62" s="25" t="n">
        <v>48</v>
      </c>
      <c r="R62" s="25" t="n">
        <f aca="false">$O$8+Q62-1</f>
        <v>48</v>
      </c>
      <c r="S62" s="26" t="str">
        <f aca="false">IF(Q62&lt;=$O$7-1,($O$9/R62)^(1/($O$7-Q62)),"")</f>
        <v/>
      </c>
      <c r="T62" s="25" t="n">
        <f aca="false">IF(S62="",0,IF(R62*(S62-1)&gt;=1,1,0))</f>
        <v>0</v>
      </c>
    </row>
    <row r="63" customFormat="false" ht="15" hidden="false" customHeight="false" outlineLevel="0" collapsed="false">
      <c r="A63" s="13" t="str">
        <f aca="false">IF(B63="","",$J$11-$J$8)</f>
        <v/>
      </c>
      <c r="B63" s="22" t="str">
        <f aca="false">IF(M63="","",M63)</f>
        <v/>
      </c>
      <c r="C63" s="22"/>
      <c r="D63" s="22"/>
      <c r="E63" s="22"/>
      <c r="F63" s="22"/>
      <c r="G63" s="22"/>
      <c r="H63" s="22"/>
      <c r="I63" s="23" t="n">
        <f aca="false">IF(B63="",0,SQRT(B63*2^N(A63)))</f>
        <v>0</v>
      </c>
      <c r="L63" s="24" t="n">
        <f aca="false">L62+1</f>
        <v>48</v>
      </c>
      <c r="M63" s="24" t="str">
        <f aca="false">IF(L63&gt;=$O$7,"",IF($O$9-$O$8+1&lt;=$O$7,IF($O$8+L63&lt;=$O$9,$O$8+L63,""),IF(L63&lt;$O$10,$O$8+L63,ROUND($O$11*$O$12^(L63-$O$10+1),0))))</f>
        <v/>
      </c>
      <c r="N63" s="24" t="str">
        <f aca="false">IF(M63="","",M63-M62)</f>
        <v/>
      </c>
      <c r="O63" s="13" t="str">
        <f aca="false">IF(M63="","",SQRT(M63*2^$O$4))</f>
        <v/>
      </c>
      <c r="Q63" s="25" t="n">
        <v>49</v>
      </c>
      <c r="R63" s="25" t="n">
        <f aca="false">$O$8+Q63-1</f>
        <v>49</v>
      </c>
      <c r="S63" s="26" t="str">
        <f aca="false">IF(Q63&lt;=$O$7-1,($O$9/R63)^(1/($O$7-Q63)),"")</f>
        <v/>
      </c>
      <c r="T63" s="25" t="n">
        <f aca="false">IF(S63="",0,IF(R63*(S63-1)&gt;=1,1,0))</f>
        <v>0</v>
      </c>
    </row>
    <row r="64" customFormat="false" ht="15" hidden="false" customHeight="false" outlineLevel="0" collapsed="false">
      <c r="A64" s="13" t="str">
        <f aca="false">IF(B64="","",$J$11-$J$8)</f>
        <v/>
      </c>
      <c r="B64" s="22" t="str">
        <f aca="false">IF(M64="","",M64)</f>
        <v/>
      </c>
      <c r="C64" s="22"/>
      <c r="D64" s="22"/>
      <c r="E64" s="22"/>
      <c r="F64" s="22"/>
      <c r="G64" s="22"/>
      <c r="H64" s="22"/>
      <c r="I64" s="23" t="n">
        <f aca="false">IF(B64="",0,SQRT(B64*2^N(A64)))</f>
        <v>0</v>
      </c>
      <c r="L64" s="24" t="n">
        <f aca="false">L63+1</f>
        <v>49</v>
      </c>
      <c r="M64" s="24" t="str">
        <f aca="false">IF(L64&gt;=$O$7,"",IF($O$9-$O$8+1&lt;=$O$7,IF($O$8+L64&lt;=$O$9,$O$8+L64,""),IF(L64&lt;$O$10,$O$8+L64,ROUND($O$11*$O$12^(L64-$O$10+1),0))))</f>
        <v/>
      </c>
      <c r="N64" s="24" t="str">
        <f aca="false">IF(M64="","",M64-M63)</f>
        <v/>
      </c>
      <c r="O64" s="13" t="str">
        <f aca="false">IF(M64="","",SQRT(M64*2^$O$4))</f>
        <v/>
      </c>
      <c r="Q64" s="25" t="n">
        <v>50</v>
      </c>
      <c r="R64" s="25" t="n">
        <f aca="false">$O$8+Q64-1</f>
        <v>50</v>
      </c>
      <c r="S64" s="26" t="str">
        <f aca="false">IF(Q64&lt;=$O$7-1,($O$9/R64)^(1/($O$7-Q64)),"")</f>
        <v/>
      </c>
      <c r="T64" s="25" t="n">
        <f aca="false">IF(S64="",0,IF(R64*(S64-1)&gt;=1,1,0))</f>
        <v>0</v>
      </c>
    </row>
    <row r="65" customFormat="false" ht="15" hidden="false" customHeight="false" outlineLevel="0" collapsed="false">
      <c r="A65" s="13" t="str">
        <f aca="false">IF(B65="","",$J$11-$J$8)</f>
        <v/>
      </c>
      <c r="B65" s="22" t="str">
        <f aca="false">IF(M65="","",M65)</f>
        <v/>
      </c>
      <c r="C65" s="22"/>
      <c r="D65" s="22"/>
      <c r="E65" s="22"/>
      <c r="F65" s="22"/>
      <c r="G65" s="22"/>
      <c r="H65" s="22"/>
      <c r="I65" s="23" t="n">
        <f aca="false">IF(B65="",0,SQRT(B65*2^N(A65)))</f>
        <v>0</v>
      </c>
      <c r="L65" s="24" t="n">
        <f aca="false">L64+1</f>
        <v>50</v>
      </c>
      <c r="M65" s="24" t="str">
        <f aca="false">IF(L65&gt;=$O$7,"",IF($O$9-$O$8+1&lt;=$O$7,IF($O$8+L65&lt;=$O$9,$O$8+L65,""),IF(L65&lt;$O$10,$O$8+L65,ROUND($O$11*$O$12^(L65-$O$10+1),0))))</f>
        <v/>
      </c>
      <c r="N65" s="24" t="str">
        <f aca="false">IF(M65="","",M65-M64)</f>
        <v/>
      </c>
      <c r="O65" s="13" t="str">
        <f aca="false">IF(M65="","",SQRT(M65*2^$O$4))</f>
        <v/>
      </c>
      <c r="Q65" s="25" t="n">
        <v>51</v>
      </c>
      <c r="R65" s="25" t="n">
        <f aca="false">$O$8+Q65-1</f>
        <v>51</v>
      </c>
      <c r="S65" s="26" t="str">
        <f aca="false">IF(Q65&lt;=$O$7-1,($O$9/R65)^(1/($O$7-Q65)),"")</f>
        <v/>
      </c>
      <c r="T65" s="25" t="n">
        <f aca="false">IF(S65="",0,IF(R65*(S65-1)&gt;=1,1,0))</f>
        <v>0</v>
      </c>
    </row>
    <row r="66" customFormat="false" ht="15" hidden="false" customHeight="false" outlineLevel="0" collapsed="false">
      <c r="A66" s="13" t="str">
        <f aca="false">IF(B66="","",$J$11-$J$8)</f>
        <v/>
      </c>
      <c r="B66" s="22" t="str">
        <f aca="false">IF(M66="","",M66)</f>
        <v/>
      </c>
      <c r="C66" s="22"/>
      <c r="D66" s="22"/>
      <c r="E66" s="22"/>
      <c r="F66" s="22"/>
      <c r="G66" s="22"/>
      <c r="H66" s="22"/>
      <c r="I66" s="23" t="n">
        <f aca="false">IF(B66="",0,SQRT(B66*2^N(A66)))</f>
        <v>0</v>
      </c>
      <c r="L66" s="24" t="n">
        <f aca="false">L65+1</f>
        <v>51</v>
      </c>
      <c r="M66" s="24" t="str">
        <f aca="false">IF(L66&gt;=$O$7,"",IF($O$9-$O$8+1&lt;=$O$7,IF($O$8+L66&lt;=$O$9,$O$8+L66,""),IF(L66&lt;$O$10,$O$8+L66,ROUND($O$11*$O$12^(L66-$O$10+1),0))))</f>
        <v/>
      </c>
      <c r="N66" s="24" t="str">
        <f aca="false">IF(M66="","",M66-M65)</f>
        <v/>
      </c>
      <c r="O66" s="13" t="str">
        <f aca="false">IF(M66="","",SQRT(M66*2^$O$4))</f>
        <v/>
      </c>
      <c r="Q66" s="25" t="n">
        <v>52</v>
      </c>
      <c r="R66" s="25" t="n">
        <f aca="false">$O$8+Q66-1</f>
        <v>52</v>
      </c>
      <c r="S66" s="26" t="str">
        <f aca="false">IF(Q66&lt;=$O$7-1,($O$9/R66)^(1/($O$7-Q66)),"")</f>
        <v/>
      </c>
      <c r="T66" s="25" t="n">
        <f aca="false">IF(S66="",0,IF(R66*(S66-1)&gt;=1,1,0))</f>
        <v>0</v>
      </c>
    </row>
    <row r="67" customFormat="false" ht="15" hidden="false" customHeight="false" outlineLevel="0" collapsed="false">
      <c r="A67" s="13" t="str">
        <f aca="false">IF(B67="","",$J$11-$J$8)</f>
        <v/>
      </c>
      <c r="B67" s="22" t="str">
        <f aca="false">IF(M67="","",M67)</f>
        <v/>
      </c>
      <c r="C67" s="22"/>
      <c r="D67" s="22"/>
      <c r="E67" s="22"/>
      <c r="F67" s="22"/>
      <c r="G67" s="22"/>
      <c r="H67" s="22"/>
      <c r="I67" s="23" t="n">
        <f aca="false">IF(B67="",0,SQRT(B67*2^N(A67)))</f>
        <v>0</v>
      </c>
      <c r="L67" s="24" t="n">
        <f aca="false">L66+1</f>
        <v>52</v>
      </c>
      <c r="M67" s="24" t="str">
        <f aca="false">IF(L67&gt;=$O$7,"",IF($O$9-$O$8+1&lt;=$O$7,IF($O$8+L67&lt;=$O$9,$O$8+L67,""),IF(L67&lt;$O$10,$O$8+L67,ROUND($O$11*$O$12^(L67-$O$10+1),0))))</f>
        <v/>
      </c>
      <c r="N67" s="24" t="str">
        <f aca="false">IF(M67="","",M67-M66)</f>
        <v/>
      </c>
      <c r="O67" s="13" t="str">
        <f aca="false">IF(M67="","",SQRT(M67*2^$O$4))</f>
        <v/>
      </c>
      <c r="Q67" s="25" t="n">
        <v>53</v>
      </c>
      <c r="R67" s="25" t="n">
        <f aca="false">$O$8+Q67-1</f>
        <v>53</v>
      </c>
      <c r="S67" s="26" t="str">
        <f aca="false">IF(Q67&lt;=$O$7-1,($O$9/R67)^(1/($O$7-Q67)),"")</f>
        <v/>
      </c>
      <c r="T67" s="25" t="n">
        <f aca="false">IF(S67="",0,IF(R67*(S67-1)&gt;=1,1,0))</f>
        <v>0</v>
      </c>
    </row>
    <row r="68" customFormat="false" ht="15" hidden="false" customHeight="false" outlineLevel="0" collapsed="false">
      <c r="A68" s="13" t="str">
        <f aca="false">IF(B68="","",$J$11-$J$8)</f>
        <v/>
      </c>
      <c r="B68" s="22" t="str">
        <f aca="false">IF(M68="","",M68)</f>
        <v/>
      </c>
      <c r="C68" s="22"/>
      <c r="D68" s="22"/>
      <c r="E68" s="22"/>
      <c r="F68" s="22"/>
      <c r="G68" s="22"/>
      <c r="H68" s="22"/>
      <c r="I68" s="23" t="n">
        <f aca="false">IF(B68="",0,SQRT(B68*2^N(A68)))</f>
        <v>0</v>
      </c>
      <c r="L68" s="24" t="n">
        <f aca="false">L67+1</f>
        <v>53</v>
      </c>
      <c r="M68" s="24" t="str">
        <f aca="false">IF(L68&gt;=$O$7,"",IF($O$9-$O$8+1&lt;=$O$7,IF($O$8+L68&lt;=$O$9,$O$8+L68,""),IF(L68&lt;$O$10,$O$8+L68,ROUND($O$11*$O$12^(L68-$O$10+1),0))))</f>
        <v/>
      </c>
      <c r="N68" s="24" t="str">
        <f aca="false">IF(M68="","",M68-M67)</f>
        <v/>
      </c>
      <c r="O68" s="13" t="str">
        <f aca="false">IF(M68="","",SQRT(M68*2^$O$4))</f>
        <v/>
      </c>
      <c r="Q68" s="25" t="n">
        <v>54</v>
      </c>
      <c r="R68" s="25" t="n">
        <f aca="false">$O$8+Q68-1</f>
        <v>54</v>
      </c>
      <c r="S68" s="26" t="str">
        <f aca="false">IF(Q68&lt;=$O$7-1,($O$9/R68)^(1/($O$7-Q68)),"")</f>
        <v/>
      </c>
      <c r="T68" s="25" t="n">
        <f aca="false">IF(S68="",0,IF(R68*(S68-1)&gt;=1,1,0))</f>
        <v>0</v>
      </c>
    </row>
    <row r="69" customFormat="false" ht="15" hidden="false" customHeight="false" outlineLevel="0" collapsed="false">
      <c r="A69" s="13" t="str">
        <f aca="false">IF(B69="","",$J$11-$J$8)</f>
        <v/>
      </c>
      <c r="B69" s="22" t="str">
        <f aca="false">IF(M69="","",M69)</f>
        <v/>
      </c>
      <c r="C69" s="22"/>
      <c r="D69" s="22"/>
      <c r="E69" s="22"/>
      <c r="F69" s="22"/>
      <c r="G69" s="22"/>
      <c r="H69" s="22"/>
      <c r="I69" s="23" t="n">
        <f aca="false">IF(B69="",0,SQRT(B69*2^N(A69)))</f>
        <v>0</v>
      </c>
      <c r="L69" s="24" t="n">
        <f aca="false">L68+1</f>
        <v>54</v>
      </c>
      <c r="M69" s="24" t="str">
        <f aca="false">IF(L69&gt;=$O$7,"",IF($O$9-$O$8+1&lt;=$O$7,IF($O$8+L69&lt;=$O$9,$O$8+L69,""),IF(L69&lt;$O$10,$O$8+L69,ROUND($O$11*$O$12^(L69-$O$10+1),0))))</f>
        <v/>
      </c>
      <c r="N69" s="24" t="str">
        <f aca="false">IF(M69="","",M69-M68)</f>
        <v/>
      </c>
      <c r="O69" s="13" t="str">
        <f aca="false">IF(M69="","",SQRT(M69*2^$O$4))</f>
        <v/>
      </c>
      <c r="Q69" s="25" t="n">
        <v>55</v>
      </c>
      <c r="R69" s="25" t="n">
        <f aca="false">$O$8+Q69-1</f>
        <v>55</v>
      </c>
      <c r="S69" s="26" t="str">
        <f aca="false">IF(Q69&lt;=$O$7-1,($O$9/R69)^(1/($O$7-Q69)),"")</f>
        <v/>
      </c>
      <c r="T69" s="25" t="n">
        <f aca="false">IF(S69="",0,IF(R69*(S69-1)&gt;=1,1,0))</f>
        <v>0</v>
      </c>
    </row>
    <row r="70" customFormat="false" ht="15" hidden="false" customHeight="false" outlineLevel="0" collapsed="false">
      <c r="A70" s="13" t="str">
        <f aca="false">IF(B70="","",$J$11-$J$8)</f>
        <v/>
      </c>
      <c r="B70" s="22" t="str">
        <f aca="false">IF(M70="","",M70)</f>
        <v/>
      </c>
      <c r="C70" s="22"/>
      <c r="D70" s="22"/>
      <c r="E70" s="22"/>
      <c r="F70" s="22"/>
      <c r="G70" s="22"/>
      <c r="H70" s="22"/>
      <c r="I70" s="23" t="n">
        <f aca="false">IF(B70="",0,SQRT(B70*2^N(A70)))</f>
        <v>0</v>
      </c>
      <c r="L70" s="24" t="n">
        <f aca="false">L69+1</f>
        <v>55</v>
      </c>
      <c r="M70" s="24" t="str">
        <f aca="false">IF(L70&gt;=$O$7,"",IF($O$9-$O$8+1&lt;=$O$7,IF($O$8+L70&lt;=$O$9,$O$8+L70,""),IF(L70&lt;$O$10,$O$8+L70,ROUND($O$11*$O$12^(L70-$O$10+1),0))))</f>
        <v/>
      </c>
      <c r="N70" s="24" t="str">
        <f aca="false">IF(M70="","",M70-M69)</f>
        <v/>
      </c>
      <c r="O70" s="13" t="str">
        <f aca="false">IF(M70="","",SQRT(M70*2^$O$4))</f>
        <v/>
      </c>
      <c r="Q70" s="25" t="n">
        <v>56</v>
      </c>
      <c r="R70" s="25" t="n">
        <f aca="false">$O$8+Q70-1</f>
        <v>56</v>
      </c>
      <c r="S70" s="26" t="str">
        <f aca="false">IF(Q70&lt;=$O$7-1,($O$9/R70)^(1/($O$7-Q70)),"")</f>
        <v/>
      </c>
      <c r="T70" s="25" t="n">
        <f aca="false">IF(S70="",0,IF(R70*(S70-1)&gt;=1,1,0))</f>
        <v>0</v>
      </c>
    </row>
    <row r="71" customFormat="false" ht="15" hidden="false" customHeight="false" outlineLevel="0" collapsed="false">
      <c r="A71" s="13" t="str">
        <f aca="false">IF(B71="","",$J$11-$J$8)</f>
        <v/>
      </c>
      <c r="B71" s="22" t="str">
        <f aca="false">IF(M71="","",M71)</f>
        <v/>
      </c>
      <c r="C71" s="22"/>
      <c r="D71" s="22"/>
      <c r="E71" s="22"/>
      <c r="F71" s="22"/>
      <c r="G71" s="22"/>
      <c r="H71" s="22"/>
      <c r="I71" s="23" t="n">
        <f aca="false">IF(B71="",0,SQRT(B71*2^N(A71)))</f>
        <v>0</v>
      </c>
      <c r="L71" s="24" t="n">
        <f aca="false">L70+1</f>
        <v>56</v>
      </c>
      <c r="M71" s="24" t="str">
        <f aca="false">IF(L71&gt;=$O$7,"",IF($O$9-$O$8+1&lt;=$O$7,IF($O$8+L71&lt;=$O$9,$O$8+L71,""),IF(L71&lt;$O$10,$O$8+L71,ROUND($O$11*$O$12^(L71-$O$10+1),0))))</f>
        <v/>
      </c>
      <c r="N71" s="24" t="str">
        <f aca="false">IF(M71="","",M71-M70)</f>
        <v/>
      </c>
      <c r="O71" s="13" t="str">
        <f aca="false">IF(M71="","",SQRT(M71*2^$O$4))</f>
        <v/>
      </c>
      <c r="Q71" s="25" t="n">
        <v>57</v>
      </c>
      <c r="R71" s="25" t="n">
        <f aca="false">$O$8+Q71-1</f>
        <v>57</v>
      </c>
      <c r="S71" s="26" t="str">
        <f aca="false">IF(Q71&lt;=$O$7-1,($O$9/R71)^(1/($O$7-Q71)),"")</f>
        <v/>
      </c>
      <c r="T71" s="25" t="n">
        <f aca="false">IF(S71="",0,IF(R71*(S71-1)&gt;=1,1,0))</f>
        <v>0</v>
      </c>
    </row>
    <row r="72" customFormat="false" ht="15" hidden="false" customHeight="false" outlineLevel="0" collapsed="false">
      <c r="A72" s="13" t="str">
        <f aca="false">IF(B72="","",$J$11-$J$8)</f>
        <v/>
      </c>
      <c r="B72" s="22" t="str">
        <f aca="false">IF(M72="","",M72)</f>
        <v/>
      </c>
      <c r="C72" s="22"/>
      <c r="D72" s="22"/>
      <c r="E72" s="22"/>
      <c r="F72" s="22"/>
      <c r="G72" s="22"/>
      <c r="H72" s="22"/>
      <c r="I72" s="23" t="n">
        <f aca="false">IF(B72="",0,SQRT(B72*2^N(A72)))</f>
        <v>0</v>
      </c>
      <c r="L72" s="24" t="n">
        <f aca="false">L71+1</f>
        <v>57</v>
      </c>
      <c r="M72" s="24" t="str">
        <f aca="false">IF(L72&gt;=$O$7,"",IF($O$9-$O$8+1&lt;=$O$7,IF($O$8+L72&lt;=$O$9,$O$8+L72,""),IF(L72&lt;$O$10,$O$8+L72,ROUND($O$11*$O$12^(L72-$O$10+1),0))))</f>
        <v/>
      </c>
      <c r="N72" s="24" t="str">
        <f aca="false">IF(M72="","",M72-M71)</f>
        <v/>
      </c>
      <c r="O72" s="13" t="str">
        <f aca="false">IF(M72="","",SQRT(M72*2^$O$4))</f>
        <v/>
      </c>
      <c r="Q72" s="25" t="n">
        <v>58</v>
      </c>
      <c r="R72" s="25" t="n">
        <f aca="false">$O$8+Q72-1</f>
        <v>58</v>
      </c>
      <c r="S72" s="26" t="str">
        <f aca="false">IF(Q72&lt;=$O$7-1,($O$9/R72)^(1/($O$7-Q72)),"")</f>
        <v/>
      </c>
      <c r="T72" s="25" t="n">
        <f aca="false">IF(S72="",0,IF(R72*(S72-1)&gt;=1,1,0))</f>
        <v>0</v>
      </c>
    </row>
    <row r="73" customFormat="false" ht="15" hidden="false" customHeight="false" outlineLevel="0" collapsed="false">
      <c r="A73" s="13" t="str">
        <f aca="false">IF(B73="","",$J$11-$J$8)</f>
        <v/>
      </c>
      <c r="B73" s="22" t="str">
        <f aca="false">IF(M73="","",M73)</f>
        <v/>
      </c>
      <c r="C73" s="22"/>
      <c r="D73" s="22"/>
      <c r="E73" s="22"/>
      <c r="F73" s="22"/>
      <c r="G73" s="22"/>
      <c r="H73" s="22"/>
      <c r="I73" s="23" t="n">
        <f aca="false">IF(B73="",0,SQRT(B73*2^N(A73)))</f>
        <v>0</v>
      </c>
      <c r="L73" s="24" t="n">
        <f aca="false">L72+1</f>
        <v>58</v>
      </c>
      <c r="M73" s="24" t="str">
        <f aca="false">IF(L73&gt;=$O$7,"",IF($O$9-$O$8+1&lt;=$O$7,IF($O$8+L73&lt;=$O$9,$O$8+L73,""),IF(L73&lt;$O$10,$O$8+L73,ROUND($O$11*$O$12^(L73-$O$10+1),0))))</f>
        <v/>
      </c>
      <c r="N73" s="24" t="str">
        <f aca="false">IF(M73="","",M73-M72)</f>
        <v/>
      </c>
      <c r="O73" s="13" t="str">
        <f aca="false">IF(M73="","",SQRT(M73*2^$O$4))</f>
        <v/>
      </c>
      <c r="Q73" s="25" t="n">
        <v>59</v>
      </c>
      <c r="R73" s="25" t="n">
        <f aca="false">$O$8+Q73-1</f>
        <v>59</v>
      </c>
      <c r="S73" s="26" t="str">
        <f aca="false">IF(Q73&lt;=$O$7-1,($O$9/R73)^(1/($O$7-Q73)),"")</f>
        <v/>
      </c>
      <c r="T73" s="25" t="n">
        <f aca="false">IF(S73="",0,IF(R73*(S73-1)&gt;=1,1,0))</f>
        <v>0</v>
      </c>
    </row>
    <row r="74" customFormat="false" ht="15" hidden="false" customHeight="false" outlineLevel="0" collapsed="false">
      <c r="A74" s="13" t="str">
        <f aca="false">IF(B74="","",$J$11-$J$8)</f>
        <v/>
      </c>
      <c r="B74" s="22" t="str">
        <f aca="false">IF(M74="","",M74)</f>
        <v/>
      </c>
      <c r="C74" s="22"/>
      <c r="D74" s="22"/>
      <c r="E74" s="22"/>
      <c r="F74" s="22"/>
      <c r="G74" s="22"/>
      <c r="H74" s="22"/>
      <c r="I74" s="23" t="n">
        <f aca="false">IF(B74="",0,SQRT(B74*2^N(A74)))</f>
        <v>0</v>
      </c>
      <c r="L74" s="24" t="n">
        <f aca="false">L73+1</f>
        <v>59</v>
      </c>
      <c r="M74" s="24" t="str">
        <f aca="false">IF(L74&gt;=$O$7,"",IF($O$9-$O$8+1&lt;=$O$7,IF($O$8+L74&lt;=$O$9,$O$8+L74,""),IF(L74&lt;$O$10,$O$8+L74,ROUND($O$11*$O$12^(L74-$O$10+1),0))))</f>
        <v/>
      </c>
      <c r="N74" s="24" t="str">
        <f aca="false">IF(M74="","",M74-M73)</f>
        <v/>
      </c>
      <c r="O74" s="13" t="str">
        <f aca="false">IF(M74="","",SQRT(M74*2^$O$4))</f>
        <v/>
      </c>
    </row>
    <row r="75" customFormat="false" ht="15" hidden="false" customHeight="false" outlineLevel="0" collapsed="false">
      <c r="A75" s="13" t="str">
        <f aca="false">IF(B75="","",$J$11-$J$8)</f>
        <v/>
      </c>
      <c r="B75" s="22" t="str">
        <f aca="false">IF(M75="","",M75)</f>
        <v/>
      </c>
      <c r="C75" s="22"/>
      <c r="D75" s="22"/>
      <c r="E75" s="22"/>
      <c r="F75" s="22"/>
      <c r="G75" s="22"/>
      <c r="H75" s="22"/>
      <c r="I75" s="23" t="n">
        <f aca="false">IF(B75="",0,SQRT(B75*2^N(A75)))</f>
        <v>0</v>
      </c>
    </row>
    <row r="76" customFormat="false" ht="15" hidden="false" customHeight="false" outlineLevel="0" collapsed="false">
      <c r="A76" s="13" t="str">
        <f aca="false">IF(B76="","",$J$11-$J$8)</f>
        <v/>
      </c>
      <c r="B76" s="22" t="str">
        <f aca="false">IF(M76="","",M76)</f>
        <v/>
      </c>
      <c r="C76" s="22"/>
      <c r="D76" s="22"/>
      <c r="E76" s="22"/>
      <c r="F76" s="22"/>
      <c r="G76" s="22"/>
      <c r="H76" s="22"/>
      <c r="I76" s="23" t="n">
        <f aca="false">IF(B76="",0,SQRT(B76*2^N(A76)))</f>
        <v>0</v>
      </c>
    </row>
    <row r="77" customFormat="false" ht="15" hidden="false" customHeight="false" outlineLevel="0" collapsed="false">
      <c r="A77" s="13" t="str">
        <f aca="false">IF(B77="","",$J$11-$J$8)</f>
        <v/>
      </c>
      <c r="B77" s="22" t="str">
        <f aca="false">IF(M77="","",M77)</f>
        <v/>
      </c>
      <c r="C77" s="22"/>
      <c r="D77" s="22"/>
      <c r="E77" s="22"/>
      <c r="F77" s="22"/>
      <c r="G77" s="22"/>
      <c r="H77" s="22"/>
      <c r="I77" s="23" t="n">
        <f aca="false">IF(B77="",0,SQRT(B77*2^N(A77)))</f>
        <v>0</v>
      </c>
    </row>
    <row r="78" customFormat="false" ht="15" hidden="false" customHeight="false" outlineLevel="0" collapsed="false">
      <c r="A78" s="13" t="str">
        <f aca="false">IF(B78="","",$J$11-$J$8)</f>
        <v/>
      </c>
      <c r="B78" s="22" t="str">
        <f aca="false">IF(M78="","",M78)</f>
        <v/>
      </c>
      <c r="C78" s="22"/>
      <c r="D78" s="22"/>
      <c r="E78" s="22"/>
      <c r="F78" s="22"/>
      <c r="G78" s="22"/>
      <c r="H78" s="22"/>
      <c r="I78" s="23" t="n">
        <f aca="false">IF(B78="",0,SQRT(B78*2^N(A78)))</f>
        <v>0</v>
      </c>
    </row>
    <row r="79" customFormat="false" ht="15" hidden="false" customHeight="false" outlineLevel="0" collapsed="false">
      <c r="A79" s="13" t="str">
        <f aca="false">IF(B79="","",$J$11-$J$8)</f>
        <v/>
      </c>
      <c r="B79" s="22" t="str">
        <f aca="false">IF(M79="","",M79)</f>
        <v/>
      </c>
      <c r="C79" s="22"/>
      <c r="D79" s="22"/>
      <c r="E79" s="22"/>
      <c r="F79" s="22"/>
      <c r="G79" s="22"/>
      <c r="H79" s="22"/>
      <c r="I79" s="23" t="n">
        <f aca="false">IF(B79="",0,SQRT(B79*2^N(A79)))</f>
        <v>0</v>
      </c>
    </row>
    <row r="80" customFormat="false" ht="15" hidden="false" customHeight="false" outlineLevel="0" collapsed="false">
      <c r="A80" s="13" t="str">
        <f aca="false">IF(B80="","",$J$11-$J$8)</f>
        <v/>
      </c>
      <c r="B80" s="22" t="str">
        <f aca="false">IF(M80="","",M80)</f>
        <v/>
      </c>
      <c r="C80" s="22"/>
      <c r="D80" s="22"/>
      <c r="E80" s="22"/>
      <c r="F80" s="22"/>
      <c r="G80" s="22"/>
      <c r="H80" s="22"/>
      <c r="I80" s="23" t="n">
        <f aca="false">IF(B80="",0,SQRT(B80*2^N(A80)))</f>
        <v>0</v>
      </c>
    </row>
    <row r="81" customFormat="false" ht="15" hidden="false" customHeight="false" outlineLevel="0" collapsed="false">
      <c r="A81" s="13" t="str">
        <f aca="false">IF(B81="","",$J$11-$J$8)</f>
        <v/>
      </c>
      <c r="B81" s="22" t="str">
        <f aca="false">IF(M81="","",M81)</f>
        <v/>
      </c>
      <c r="C81" s="22"/>
      <c r="D81" s="22"/>
      <c r="E81" s="22"/>
      <c r="F81" s="22"/>
      <c r="G81" s="22"/>
      <c r="H81" s="22"/>
      <c r="I81" s="23" t="n">
        <f aca="false">IF(B81="",0,SQRT(B81*2^N(A81)))</f>
        <v>0</v>
      </c>
    </row>
    <row r="82" customFormat="false" ht="15" hidden="false" customHeight="false" outlineLevel="0" collapsed="false">
      <c r="A82" s="13" t="str">
        <f aca="false">IF(B82="","",$J$11-$J$8)</f>
        <v/>
      </c>
      <c r="B82" s="22" t="str">
        <f aca="false">IF(M82="","",M82)</f>
        <v/>
      </c>
      <c r="C82" s="22"/>
      <c r="D82" s="22"/>
      <c r="E82" s="22"/>
      <c r="F82" s="22"/>
      <c r="G82" s="22"/>
      <c r="H82" s="22"/>
      <c r="I82" s="23" t="n">
        <f aca="false">IF(B82="",0,SQRT(B82*2^N(A82)))</f>
        <v>0</v>
      </c>
    </row>
    <row r="83" customFormat="false" ht="15" hidden="false" customHeight="false" outlineLevel="0" collapsed="false">
      <c r="A83" s="13" t="str">
        <f aca="false">IF(B83="","",$J$11-$J$8)</f>
        <v/>
      </c>
      <c r="B83" s="22" t="str">
        <f aca="false">IF(M83="","",M83)</f>
        <v/>
      </c>
      <c r="C83" s="22"/>
      <c r="D83" s="22"/>
      <c r="E83" s="22"/>
      <c r="F83" s="22"/>
      <c r="G83" s="22"/>
      <c r="H83" s="22"/>
      <c r="I83" s="23" t="n">
        <f aca="false">IF(B83="",0,SQRT(B83*2^N(A83)))</f>
        <v>0</v>
      </c>
    </row>
    <row r="84" customFormat="false" ht="15" hidden="false" customHeight="false" outlineLevel="0" collapsed="false">
      <c r="A84" s="13" t="str">
        <f aca="false">IF(B84="","",$J$11-$J$8)</f>
        <v/>
      </c>
      <c r="B84" s="22" t="str">
        <f aca="false">IF(M84="","",M84)</f>
        <v/>
      </c>
      <c r="C84" s="22"/>
      <c r="D84" s="22"/>
      <c r="E84" s="22"/>
      <c r="F84" s="22"/>
      <c r="G84" s="22"/>
      <c r="H84" s="22"/>
      <c r="I84" s="23" t="n">
        <f aca="false">IF(B84="",0,SQRT(B84*2^N(A84)))</f>
        <v>0</v>
      </c>
    </row>
    <row r="85" customFormat="false" ht="15" hidden="false" customHeight="false" outlineLevel="0" collapsed="false">
      <c r="A85" s="13" t="str">
        <f aca="false">IF(B85="","",$J$11-$J$8)</f>
        <v/>
      </c>
      <c r="B85" s="22" t="str">
        <f aca="false">IF(M85="","",M85)</f>
        <v/>
      </c>
      <c r="C85" s="22"/>
      <c r="D85" s="22"/>
      <c r="E85" s="22"/>
      <c r="F85" s="22"/>
      <c r="G85" s="22"/>
      <c r="H85" s="22"/>
      <c r="I85" s="23" t="n">
        <f aca="false">IF(B85="",0,SQRT(B85*2^N(A85)))</f>
        <v>0</v>
      </c>
    </row>
    <row r="86" customFormat="false" ht="15" hidden="false" customHeight="false" outlineLevel="0" collapsed="false">
      <c r="A86" s="13" t="str">
        <f aca="false">IF(B86="","",$J$11-$J$8)</f>
        <v/>
      </c>
      <c r="B86" s="22" t="str">
        <f aca="false">IF(M86="","",M86)</f>
        <v/>
      </c>
      <c r="C86" s="22"/>
      <c r="D86" s="22"/>
      <c r="E86" s="22"/>
      <c r="F86" s="22"/>
      <c r="G86" s="22"/>
      <c r="H86" s="22"/>
      <c r="I86" s="23" t="n">
        <f aca="false">IF(B86="",0,SQRT(B86*2^N(A86)))</f>
        <v>0</v>
      </c>
    </row>
    <row r="87" customFormat="false" ht="15" hidden="false" customHeight="false" outlineLevel="0" collapsed="false">
      <c r="A87" s="13" t="str">
        <f aca="false">IF(B87="","",$J$11-$J$8)</f>
        <v/>
      </c>
      <c r="B87" s="22" t="str">
        <f aca="false">IF(M87="","",M87)</f>
        <v/>
      </c>
      <c r="C87" s="22"/>
      <c r="D87" s="22"/>
      <c r="E87" s="22"/>
      <c r="F87" s="22"/>
      <c r="G87" s="22"/>
      <c r="H87" s="22"/>
      <c r="I87" s="23" t="n">
        <f aca="false">IF(B87="",0,SQRT(B87*2^N(A87)))</f>
        <v>0</v>
      </c>
    </row>
    <row r="88" customFormat="false" ht="15" hidden="false" customHeight="false" outlineLevel="0" collapsed="false">
      <c r="A88" s="13" t="str">
        <f aca="false">IF(B88="","",$J$11-$J$8)</f>
        <v/>
      </c>
      <c r="B88" s="22" t="str">
        <f aca="false">IF(M88="","",M88)</f>
        <v/>
      </c>
      <c r="C88" s="22"/>
      <c r="D88" s="22"/>
      <c r="E88" s="22"/>
      <c r="F88" s="22"/>
      <c r="G88" s="22"/>
      <c r="H88" s="22"/>
      <c r="I88" s="23" t="n">
        <f aca="false">IF(B88="",0,SQRT(B88*2^N(A88)))</f>
        <v>0</v>
      </c>
    </row>
    <row r="89" customFormat="false" ht="15" hidden="false" customHeight="false" outlineLevel="0" collapsed="false">
      <c r="A89" s="13" t="str">
        <f aca="false">IF(B89="","",$J$11-$J$8)</f>
        <v/>
      </c>
      <c r="B89" s="22" t="str">
        <f aca="false">IF(M89="","",M89)</f>
        <v/>
      </c>
      <c r="C89" s="22"/>
      <c r="D89" s="22"/>
      <c r="E89" s="22"/>
      <c r="F89" s="22"/>
      <c r="G89" s="22"/>
      <c r="H89" s="22"/>
      <c r="I89" s="23" t="n">
        <f aca="false">IF(B89="",0,SQRT(B89*2^N(A89)))</f>
        <v>0</v>
      </c>
    </row>
    <row r="90" customFormat="false" ht="15" hidden="false" customHeight="false" outlineLevel="0" collapsed="false">
      <c r="A90" s="13" t="str">
        <f aca="false">IF(B90="","",$J$11-$J$8)</f>
        <v/>
      </c>
      <c r="B90" s="22" t="str">
        <f aca="false">IF(M90="","",M90)</f>
        <v/>
      </c>
      <c r="C90" s="22"/>
      <c r="D90" s="22"/>
      <c r="E90" s="22"/>
      <c r="F90" s="22"/>
      <c r="G90" s="22"/>
      <c r="H90" s="22"/>
      <c r="I90" s="23" t="n">
        <f aca="false">IF(B90="",0,SQRT(B90*2^N(A90)))</f>
        <v>0</v>
      </c>
    </row>
    <row r="91" customFormat="false" ht="15" hidden="false" customHeight="false" outlineLevel="0" collapsed="false">
      <c r="A91" s="13" t="str">
        <f aca="false">IF(B91="","",$J$11-$J$8)</f>
        <v/>
      </c>
      <c r="B91" s="22" t="str">
        <f aca="false">IF(M91="","",M91)</f>
        <v/>
      </c>
      <c r="C91" s="22"/>
      <c r="D91" s="22"/>
      <c r="E91" s="22"/>
      <c r="F91" s="22"/>
      <c r="G91" s="22"/>
      <c r="H91" s="22"/>
      <c r="I91" s="23" t="n">
        <f aca="false">IF(B91="",0,SQRT(B91*2^N(A91)))</f>
        <v>0</v>
      </c>
    </row>
    <row r="92" customFormat="false" ht="15" hidden="false" customHeight="false" outlineLevel="0" collapsed="false">
      <c r="A92" s="13" t="str">
        <f aca="false">IF(B92="","",$J$11-$J$8)</f>
        <v/>
      </c>
      <c r="B92" s="22" t="str">
        <f aca="false">IF(M92="","",M92)</f>
        <v/>
      </c>
      <c r="C92" s="22"/>
      <c r="D92" s="22"/>
      <c r="E92" s="22"/>
      <c r="F92" s="22"/>
      <c r="G92" s="22"/>
      <c r="H92" s="22"/>
      <c r="I92" s="23" t="n">
        <f aca="false">IF(B92="",0,SQRT(B92*2^N(A92)))</f>
        <v>0</v>
      </c>
    </row>
    <row r="93" customFormat="false" ht="15" hidden="false" customHeight="false" outlineLevel="0" collapsed="false">
      <c r="A93" s="13" t="str">
        <f aca="false">IF(B93="","",$J$11-$J$8)</f>
        <v/>
      </c>
      <c r="B93" s="22" t="str">
        <f aca="false">IF(M93="","",M93)</f>
        <v/>
      </c>
      <c r="C93" s="22"/>
      <c r="D93" s="22"/>
      <c r="E93" s="22"/>
      <c r="F93" s="22"/>
      <c r="G93" s="22"/>
      <c r="H93" s="22"/>
      <c r="I93" s="23" t="n">
        <f aca="false">IF(B93="",0,SQRT(B93*2^N(A93)))</f>
        <v>0</v>
      </c>
    </row>
    <row r="94" customFormat="false" ht="15" hidden="false" customHeight="false" outlineLevel="0" collapsed="false">
      <c r="A94" s="13" t="str">
        <f aca="false">IF(B94="","",$J$11-$J$8)</f>
        <v/>
      </c>
      <c r="B94" s="22" t="str">
        <f aca="false">IF(M94="","",M94)</f>
        <v/>
      </c>
      <c r="C94" s="22"/>
      <c r="D94" s="22"/>
      <c r="E94" s="22"/>
      <c r="F94" s="22"/>
      <c r="G94" s="22"/>
      <c r="H94" s="22"/>
      <c r="I94" s="23" t="n">
        <f aca="false">IF(B94="",0,SQRT(B94*2^N(A94)))</f>
        <v>0</v>
      </c>
    </row>
  </sheetData>
  <dataValidations count="3">
    <dataValidation allowBlank="true" error="T must be a positive number of seconds." errorStyle="warning" errorTitle="T" operator="greaterThan" showDropDown="false" showErrorMessage="false" showInputMessage="false" sqref="B15:B94" type="decimal">
      <formula1>0</formula1>
      <formula2>0</formula2>
    </dataValidation>
    <dataValidation allowBlank="true" error="Gray level: 1 (white) … 11 (black)." errorStyle="warning" errorTitle="Gray level" operator="between" showDropDown="false" showErrorMessage="false" showInputMessage="false" sqref="C15:H94" type="decimal">
      <formula1>1</formula1>
      <formula2>11</formula2>
    </dataValidation>
    <dataValidation allowBlank="false" error="Between 3 and 59 strips per level." errorStyle="warning" errorTitle="Strips" operator="between" showDropDown="false" showErrorMessage="false" showInputMessage="false" sqref="O7" type="whole">
      <formula1>3</formula1>
      <formula2>59</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P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4" topLeftCell="A1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8" min="2" style="0" width="9"/>
    <col collapsed="false" customWidth="true" hidden="false" outlineLevel="0" max="9" min="9" style="0" width="13"/>
    <col collapsed="false" customWidth="true" hidden="false" outlineLevel="0" max="10" min="10" style="0" width="12"/>
    <col collapsed="false" customWidth="true" hidden="false" outlineLevel="0" max="11" min="11" style="0" width="3"/>
    <col collapsed="false" customWidth="true" hidden="false" outlineLevel="0" max="12" min="12" style="0" width="5"/>
    <col collapsed="false" customWidth="true" hidden="false" outlineLevel="0" max="13" min="13" style="0" width="9"/>
    <col collapsed="false" customWidth="true" hidden="false" outlineLevel="0" max="14" min="14" style="0" width="12"/>
    <col collapsed="false" customWidth="true" hidden="false" outlineLevel="0" max="15" min="15" style="0" width="10"/>
    <col collapsed="false" customWidth="true" hidden="false" outlineLevel="0" max="16" min="16" style="0" width="2"/>
    <col collapsed="false" customWidth="true" hidden="false" outlineLevel="0" max="17" min="17" style="0" width="5"/>
    <col collapsed="false" customWidth="true" hidden="false" outlineLevel="0" max="18" min="18" style="0" width="6"/>
    <col collapsed="false" customWidth="true" hidden="false" outlineLevel="0" max="19" min="19" style="0" width="8"/>
    <col collapsed="false" customWidth="true" hidden="false" outlineLevel="0" max="20" min="20" style="0" width="4"/>
    <col collapsed="false" customWidth="true" hidden="false" outlineLevel="0" max="23" min="23" style="0" width="5"/>
    <col collapsed="false" customWidth="true" hidden="false" outlineLevel="0" max="24" min="24" style="0" width="9"/>
    <col collapsed="false" customWidth="true" hidden="false" outlineLevel="0" max="25" min="25" style="0" width="12"/>
    <col collapsed="false" customWidth="true" hidden="false" outlineLevel="0" max="26" min="26" style="0" width="10"/>
    <col collapsed="false" customWidth="true" hidden="false" outlineLevel="0" max="27" min="27" style="0" width="2"/>
    <col collapsed="false" customWidth="true" hidden="false" outlineLevel="0" max="28" min="28" style="0" width="5"/>
    <col collapsed="false" customWidth="true" hidden="false" outlineLevel="0" max="29" min="29" style="0" width="6"/>
    <col collapsed="false" customWidth="true" hidden="false" outlineLevel="0" max="30" min="30" style="0" width="8"/>
    <col collapsed="false" customWidth="true" hidden="false" outlineLevel="0" max="31" min="31" style="0" width="4"/>
    <col collapsed="false" customWidth="true" hidden="false" outlineLevel="0" max="34" min="34" style="0" width="5"/>
    <col collapsed="false" customWidth="true" hidden="false" outlineLevel="0" max="35" min="35" style="0" width="9"/>
    <col collapsed="false" customWidth="true" hidden="false" outlineLevel="0" max="36" min="36" style="0" width="12"/>
    <col collapsed="false" customWidth="true" hidden="false" outlineLevel="0" max="37" min="37" style="0" width="10"/>
    <col collapsed="false" customWidth="true" hidden="false" outlineLevel="0" max="38" min="38" style="0" width="2"/>
    <col collapsed="false" customWidth="true" hidden="false" outlineLevel="0" max="39" min="39" style="0" width="5"/>
    <col collapsed="false" customWidth="true" hidden="false" outlineLevel="0" max="40" min="40" style="0" width="6"/>
    <col collapsed="false" customWidth="true" hidden="false" outlineLevel="0" max="41" min="41" style="0" width="8"/>
    <col collapsed="false" customWidth="true" hidden="false" outlineLevel="0" max="42" min="42" style="0" width="4"/>
  </cols>
  <sheetData>
    <row r="1" customFormat="false" ht="17.35" hidden="false" customHeight="false" outlineLevel="0" collapsed="false">
      <c r="A1" s="6" t="s">
        <v>67</v>
      </c>
    </row>
    <row r="2" customFormat="false" ht="15" hidden="false" customHeight="false" outlineLevel="0" collapsed="false">
      <c r="A2" s="7" t="s">
        <v>28</v>
      </c>
      <c r="L2" s="8" t="s">
        <v>68</v>
      </c>
      <c r="W2" s="8" t="s">
        <v>69</v>
      </c>
      <c r="AH2" s="8" t="s">
        <v>70</v>
      </c>
    </row>
    <row r="3" customFormat="false" ht="15" hidden="false" customHeight="false" outlineLevel="0" collapsed="false">
      <c r="A3" s="9" t="s">
        <v>30</v>
      </c>
      <c r="J3" s="10" t="n">
        <v>50</v>
      </c>
      <c r="L3" s="11" t="s">
        <v>31</v>
      </c>
      <c r="O3" s="27" t="n">
        <v>4</v>
      </c>
      <c r="W3" s="11" t="s">
        <v>31</v>
      </c>
      <c r="Z3" s="27" t="n">
        <v>2</v>
      </c>
      <c r="AH3" s="11" t="s">
        <v>31</v>
      </c>
      <c r="AK3" s="27" t="n">
        <v>0</v>
      </c>
    </row>
    <row r="4" customFormat="false" ht="15" hidden="false" customHeight="false" outlineLevel="0" collapsed="false">
      <c r="A4" s="9" t="s">
        <v>32</v>
      </c>
      <c r="J4" s="10" t="n">
        <v>0</v>
      </c>
      <c r="L4" s="11" t="s">
        <v>33</v>
      </c>
      <c r="O4" s="13" t="n">
        <f aca="false">$J$11-$O$3</f>
        <v>-2</v>
      </c>
      <c r="W4" s="11" t="s">
        <v>33</v>
      </c>
      <c r="Z4" s="13" t="n">
        <f aca="false">$J$11-$Z$3</f>
        <v>0</v>
      </c>
      <c r="AH4" s="11" t="s">
        <v>33</v>
      </c>
      <c r="AK4" s="13" t="n">
        <f aca="false">$J$11-$AK$3</f>
        <v>2</v>
      </c>
    </row>
    <row r="5" customFormat="false" ht="15" hidden="false" customHeight="false" outlineLevel="0" collapsed="false">
      <c r="A5" s="9" t="s">
        <v>34</v>
      </c>
      <c r="J5" s="10" t="n">
        <v>0</v>
      </c>
      <c r="L5" s="11" t="s">
        <v>35</v>
      </c>
      <c r="O5" s="10" t="n">
        <v>0.5</v>
      </c>
      <c r="W5" s="11" t="s">
        <v>35</v>
      </c>
      <c r="Z5" s="10" t="n">
        <v>2</v>
      </c>
      <c r="AH5" s="11" t="s">
        <v>35</v>
      </c>
      <c r="AK5" s="10" t="n">
        <v>4</v>
      </c>
    </row>
    <row r="6" customFormat="false" ht="15" hidden="false" customHeight="false" outlineLevel="0" collapsed="false">
      <c r="A6" s="9" t="s">
        <v>36</v>
      </c>
      <c r="J6" s="10" t="n">
        <v>1</v>
      </c>
      <c r="L6" s="11" t="s">
        <v>37</v>
      </c>
      <c r="O6" s="10" t="n">
        <v>2</v>
      </c>
      <c r="W6" s="11" t="s">
        <v>37</v>
      </c>
      <c r="Z6" s="10" t="n">
        <v>4</v>
      </c>
      <c r="AH6" s="11" t="s">
        <v>37</v>
      </c>
      <c r="AK6" s="10" t="n">
        <v>8</v>
      </c>
    </row>
    <row r="7" customFormat="false" ht="15" hidden="false" customHeight="false" outlineLevel="0" collapsed="false">
      <c r="A7" s="9" t="s">
        <v>71</v>
      </c>
      <c r="J7" s="10" t="n">
        <v>2</v>
      </c>
      <c r="L7" s="11" t="s">
        <v>39</v>
      </c>
      <c r="O7" s="10" t="n">
        <v>13</v>
      </c>
      <c r="W7" s="11" t="s">
        <v>39</v>
      </c>
      <c r="Z7" s="10" t="n">
        <v>13</v>
      </c>
      <c r="AH7" s="11" t="s">
        <v>39</v>
      </c>
      <c r="AK7" s="10" t="n">
        <v>13</v>
      </c>
    </row>
    <row r="8" customFormat="false" ht="15" hidden="false" customHeight="false" outlineLevel="0" collapsed="false">
      <c r="A8" s="28" t="s">
        <v>72</v>
      </c>
      <c r="L8" s="11" t="s">
        <v>41</v>
      </c>
      <c r="O8" s="14" t="n">
        <f aca="false">MAX(1,ROUND($O$5^2/2^$O$4,0))</f>
        <v>1</v>
      </c>
      <c r="W8" s="11" t="s">
        <v>41</v>
      </c>
      <c r="Z8" s="14" t="n">
        <f aca="false">MAX(1,ROUND($Z$5^2/2^$Z$4,0))</f>
        <v>4</v>
      </c>
      <c r="AH8" s="11" t="s">
        <v>41</v>
      </c>
      <c r="AK8" s="14" t="n">
        <f aca="false">MAX(1,ROUND($AK$5^2/2^$AK$4,0))</f>
        <v>4</v>
      </c>
    </row>
    <row r="9" customFormat="false" ht="15" hidden="false" customHeight="false" outlineLevel="0" collapsed="false">
      <c r="A9" s="9" t="s">
        <v>42</v>
      </c>
      <c r="J9" s="15" t="n">
        <f aca="false">IF(AND(J3&gt;0,J4&gt;=0,J4&lt;J3),1/LOG10(2)*LOG10(((J3-J4)/J3)^2),0)</f>
        <v>0</v>
      </c>
      <c r="L9" s="11" t="s">
        <v>43</v>
      </c>
      <c r="O9" s="14" t="n">
        <f aca="false">ROUND($O$6^2/2^$O$4,0)</f>
        <v>16</v>
      </c>
      <c r="W9" s="11" t="s">
        <v>43</v>
      </c>
      <c r="Z9" s="14" t="n">
        <f aca="false">ROUND($Z$6^2/2^$Z$4,0)</f>
        <v>16</v>
      </c>
      <c r="AH9" s="11" t="s">
        <v>43</v>
      </c>
      <c r="AK9" s="14" t="n">
        <f aca="false">ROUND($AK$6^2/2^$AK$4,0)</f>
        <v>16</v>
      </c>
    </row>
    <row r="10" customFormat="false" ht="15" hidden="false" customHeight="false" outlineLevel="0" collapsed="false">
      <c r="A10" s="9" t="s">
        <v>44</v>
      </c>
      <c r="J10" s="15" t="n">
        <f aca="false">IF(J7&lt;0,J7*J6,J7)+J5</f>
        <v>2</v>
      </c>
      <c r="L10" s="11" t="s">
        <v>45</v>
      </c>
      <c r="O10" s="14" t="n">
        <f aca="false">IFERROR(MATCH(1,$T$15:$T$73,0),$O$7-1)</f>
        <v>7</v>
      </c>
      <c r="W10" s="11" t="s">
        <v>45</v>
      </c>
      <c r="Z10" s="14" t="n">
        <f aca="false">IFERROR(MATCH(1,$AE$15:$AE$73,0),$Z$7-1)</f>
        <v>12</v>
      </c>
      <c r="AH10" s="11" t="s">
        <v>45</v>
      </c>
      <c r="AK10" s="14" t="n">
        <f aca="false">IFERROR(MATCH(1,$AP$15:$AP$73,0),$AK$7-1)</f>
        <v>12</v>
      </c>
    </row>
    <row r="11" customFormat="false" ht="15" hidden="false" customHeight="false" outlineLevel="0" collapsed="false">
      <c r="A11" s="9" t="s">
        <v>46</v>
      </c>
      <c r="J11" s="15" t="n">
        <f aca="false">J10+J9</f>
        <v>2</v>
      </c>
      <c r="L11" s="16" t="s">
        <v>47</v>
      </c>
      <c r="O11" s="14" t="n">
        <f aca="false">$O$8+$O$10-1</f>
        <v>7</v>
      </c>
      <c r="W11" s="16" t="s">
        <v>47</v>
      </c>
      <c r="Z11" s="14" t="n">
        <f aca="false">$Z$8+$Z$10-1</f>
        <v>15</v>
      </c>
      <c r="AH11" s="16" t="s">
        <v>47</v>
      </c>
      <c r="AK11" s="14" t="n">
        <f aca="false">$AK$8+$AK$10-1</f>
        <v>15</v>
      </c>
    </row>
    <row r="12" customFormat="false" ht="15" hidden="false" customHeight="false" outlineLevel="0" collapsed="false">
      <c r="A12" s="9" t="s">
        <v>73</v>
      </c>
      <c r="J12" s="17" t="n">
        <f aca="false">IF(2-J9-J5&lt;0,(2-J9-J5)/J6,2-J9-J5)</f>
        <v>2</v>
      </c>
      <c r="L12" s="16" t="s">
        <v>49</v>
      </c>
      <c r="O12" s="18" t="n">
        <f aca="false">($O$9/$O$11)^(1/($O$7-$O$10))</f>
        <v>1.14772275050062</v>
      </c>
      <c r="W12" s="16" t="s">
        <v>49</v>
      </c>
      <c r="Z12" s="18" t="n">
        <f aca="false">($Z$9/$Z$11)^(1/($Z$7-$Z$10))</f>
        <v>1.06666666666667</v>
      </c>
      <c r="AH12" s="16" t="s">
        <v>49</v>
      </c>
      <c r="AK12" s="18" t="n">
        <f aca="false">($AK$9/$AK$11)^(1/($AK$7-$AK$10))</f>
        <v>1.06666666666667</v>
      </c>
    </row>
    <row r="13" customFormat="false" ht="15" hidden="false" customHeight="false" outlineLevel="0" collapsed="false">
      <c r="L13" s="16" t="s">
        <v>50</v>
      </c>
      <c r="O13" s="14" t="n">
        <f aca="false">COUNT(M15:M74)</f>
        <v>13</v>
      </c>
      <c r="W13" s="16" t="s">
        <v>50</v>
      </c>
      <c r="Z13" s="14" t="n">
        <f aca="false">COUNT(X15:X74)</f>
        <v>13</v>
      </c>
      <c r="AH13" s="16" t="s">
        <v>50</v>
      </c>
      <c r="AK13" s="14" t="n">
        <f aca="false">COUNT(AI15:AI74)</f>
        <v>13</v>
      </c>
    </row>
    <row r="14" customFormat="false" ht="30" hidden="false" customHeight="true" outlineLevel="0" collapsed="false">
      <c r="A14" s="19" t="s">
        <v>51</v>
      </c>
      <c r="B14" s="19" t="s">
        <v>52</v>
      </c>
      <c r="C14" s="19" t="s">
        <v>53</v>
      </c>
      <c r="D14" s="19" t="s">
        <v>54</v>
      </c>
      <c r="E14" s="19" t="s">
        <v>55</v>
      </c>
      <c r="F14" s="19" t="s">
        <v>56</v>
      </c>
      <c r="G14" s="19" t="s">
        <v>57</v>
      </c>
      <c r="H14" s="19" t="s">
        <v>58</v>
      </c>
      <c r="I14" s="19" t="s">
        <v>59</v>
      </c>
      <c r="J14" s="19" t="s">
        <v>74</v>
      </c>
      <c r="L14" s="19" t="s">
        <v>60</v>
      </c>
      <c r="M14" s="19" t="s">
        <v>52</v>
      </c>
      <c r="N14" s="19" t="s">
        <v>61</v>
      </c>
      <c r="O14" s="19" t="s">
        <v>62</v>
      </c>
      <c r="Q14" s="20" t="s">
        <v>63</v>
      </c>
      <c r="R14" s="20" t="s">
        <v>64</v>
      </c>
      <c r="S14" s="20" t="s">
        <v>65</v>
      </c>
      <c r="T14" s="20" t="s">
        <v>66</v>
      </c>
      <c r="W14" s="19" t="s">
        <v>60</v>
      </c>
      <c r="X14" s="19" t="s">
        <v>52</v>
      </c>
      <c r="Y14" s="19" t="s">
        <v>61</v>
      </c>
      <c r="Z14" s="19" t="s">
        <v>62</v>
      </c>
      <c r="AB14" s="20" t="s">
        <v>63</v>
      </c>
      <c r="AC14" s="20" t="s">
        <v>64</v>
      </c>
      <c r="AD14" s="20" t="s">
        <v>65</v>
      </c>
      <c r="AE14" s="20" t="s">
        <v>66</v>
      </c>
      <c r="AH14" s="19" t="s">
        <v>60</v>
      </c>
      <c r="AI14" s="19" t="s">
        <v>52</v>
      </c>
      <c r="AJ14" s="19" t="s">
        <v>61</v>
      </c>
      <c r="AK14" s="19" t="s">
        <v>62</v>
      </c>
      <c r="AM14" s="20" t="s">
        <v>63</v>
      </c>
      <c r="AN14" s="20" t="s">
        <v>64</v>
      </c>
      <c r="AO14" s="20" t="s">
        <v>65</v>
      </c>
      <c r="AP14" s="20" t="s">
        <v>66</v>
      </c>
    </row>
    <row r="15" customFormat="false" ht="15" hidden="false" customHeight="false" outlineLevel="0" collapsed="false">
      <c r="A15" s="13" t="n">
        <f aca="false">IF(B15="","",$J$11-J15)</f>
        <v>-2</v>
      </c>
      <c r="B15" s="21" t="n">
        <f aca="false">IF(0&lt;$O$13,INDEX($M$15:$M$74,1),IF(0&lt;$O$13+$Z$13,INDEX($X$15:$X$74,0-$O$13+1),IF(0&lt;$O$13+$Z$13+$AK$13,INDEX($AI$15:$AI$74,0-$O$13-$Z$13+1),"")))</f>
        <v>1</v>
      </c>
      <c r="C15" s="22"/>
      <c r="D15" s="22"/>
      <c r="E15" s="22"/>
      <c r="F15" s="22"/>
      <c r="G15" s="22"/>
      <c r="H15" s="22"/>
      <c r="I15" s="23" t="n">
        <f aca="false">IF(B15="",0,SQRT(B15*2^N(A15)))</f>
        <v>0.5</v>
      </c>
      <c r="J15" s="12" t="n">
        <f aca="false">IF(B15="","",IF(0&lt;$O$13,$O$3,IF(0&lt;$O$13+$Z$13,$Z$3,$AK$3)))</f>
        <v>4</v>
      </c>
      <c r="L15" s="24" t="n">
        <v>0</v>
      </c>
      <c r="M15" s="24" t="n">
        <f aca="false">IF(L15&gt;=$O$7,"",IF($O$9-$O$8+1&lt;=$O$7,IF($O$8+L15&lt;=$O$9,$O$8+L15,""),IF(L15&lt;$O$10,$O$8+L15,ROUND($O$11*$O$12^(L15-$O$10+1),0))))</f>
        <v>1</v>
      </c>
      <c r="N15" s="24" t="n">
        <f aca="false">IF(M15="","",M15)</f>
        <v>1</v>
      </c>
      <c r="O15" s="13" t="n">
        <f aca="false">IF(M15="","",SQRT(M15*2^$O$4))</f>
        <v>0.5</v>
      </c>
      <c r="Q15" s="25" t="n">
        <v>1</v>
      </c>
      <c r="R15" s="25" t="n">
        <f aca="false">$O$8+Q15-1</f>
        <v>1</v>
      </c>
      <c r="S15" s="26" t="n">
        <f aca="false">IF(Q15&lt;=$O$7-1,($O$9/R15)^(1/($O$7-Q15)),"")</f>
        <v>1.25992104989487</v>
      </c>
      <c r="T15" s="25" t="n">
        <f aca="false">IF(S15="",0,IF(R15*(S15-1)&gt;=1,1,0))</f>
        <v>0</v>
      </c>
      <c r="W15" s="24" t="n">
        <v>0</v>
      </c>
      <c r="X15" s="24" t="n">
        <f aca="false">IF(W15&gt;=$Z$7,"",IF($Z$9-$Z$8+1&lt;=$Z$7,IF($Z$8+W15&lt;=$Z$9,$Z$8+W15,""),IF(W15&lt;$Z$10,$Z$8+W15,ROUND($Z$11*$Z$12^(W15-$Z$10+1),0))))</f>
        <v>4</v>
      </c>
      <c r="Y15" s="24" t="n">
        <f aca="false">IF(X15="","",X15)</f>
        <v>4</v>
      </c>
      <c r="Z15" s="13" t="n">
        <f aca="false">IF(X15="","",SQRT(X15*2^$Z$4))</f>
        <v>2</v>
      </c>
      <c r="AB15" s="25" t="n">
        <v>1</v>
      </c>
      <c r="AC15" s="25" t="n">
        <f aca="false">$Z$8+AB15-1</f>
        <v>4</v>
      </c>
      <c r="AD15" s="26" t="n">
        <f aca="false">IF(AB15&lt;=$Z$7-1,($Z$9/AC15)^(1/($Z$7-AB15)),"")</f>
        <v>1.12246204830937</v>
      </c>
      <c r="AE15" s="25" t="n">
        <f aca="false">IF(AD15="",0,IF(AC15*(AD15-1)&gt;=1,1,0))</f>
        <v>0</v>
      </c>
      <c r="AH15" s="24" t="n">
        <v>0</v>
      </c>
      <c r="AI15" s="24" t="n">
        <f aca="false">IF(AH15&gt;=$AK$7,"",IF($AK$9-$AK$8+1&lt;=$AK$7,IF($AK$8+AH15&lt;=$AK$9,$AK$8+AH15,""),IF(AH15&lt;$AK$10,$AK$8+AH15,ROUND($AK$11*$AK$12^(AH15-$AK$10+1),0))))</f>
        <v>4</v>
      </c>
      <c r="AJ15" s="24" t="n">
        <f aca="false">IF(AI15="","",AI15)</f>
        <v>4</v>
      </c>
      <c r="AK15" s="13" t="n">
        <f aca="false">IF(AI15="","",SQRT(AI15*2^$AK$4))</f>
        <v>4</v>
      </c>
      <c r="AM15" s="25" t="n">
        <v>1</v>
      </c>
      <c r="AN15" s="25" t="n">
        <f aca="false">$AK$8+AM15-1</f>
        <v>4</v>
      </c>
      <c r="AO15" s="26" t="n">
        <f aca="false">IF(AM15&lt;=$AK$7-1,($AK$9/AN15)^(1/($AK$7-AM15)),"")</f>
        <v>1.12246204830937</v>
      </c>
      <c r="AP15" s="25" t="n">
        <f aca="false">IF(AO15="",0,IF(AN15*(AO15-1)&gt;=1,1,0))</f>
        <v>0</v>
      </c>
    </row>
    <row r="16" customFormat="false" ht="15" hidden="false" customHeight="false" outlineLevel="0" collapsed="false">
      <c r="A16" s="13" t="n">
        <f aca="false">IF(B16="","",$J$11-J16)</f>
        <v>-2</v>
      </c>
      <c r="B16" s="21" t="n">
        <f aca="false">IF(1&lt;$O$13,INDEX($M$15:$M$74,2),IF(1&lt;$O$13+$Z$13,INDEX($X$15:$X$74,1-$O$13+1),IF(1&lt;$O$13+$Z$13+$AK$13,INDEX($AI$15:$AI$74,1-$O$13-$Z$13+1),"")))</f>
        <v>2</v>
      </c>
      <c r="C16" s="22"/>
      <c r="D16" s="22"/>
      <c r="E16" s="22"/>
      <c r="F16" s="22"/>
      <c r="G16" s="22"/>
      <c r="H16" s="22"/>
      <c r="I16" s="23" t="n">
        <f aca="false">IF(B16="",0,SQRT(B16*2^N(A16)))</f>
        <v>0.707106781186548</v>
      </c>
      <c r="J16" s="12" t="n">
        <f aca="false">IF(B16="","",IF(1&lt;$O$13,$O$3,IF(1&lt;$O$13+$Z$13,$Z$3,$AK$3)))</f>
        <v>4</v>
      </c>
      <c r="L16" s="24" t="n">
        <f aca="false">L15+1</f>
        <v>1</v>
      </c>
      <c r="M16" s="24" t="n">
        <f aca="false">IF(L16&gt;=$O$7,"",IF($O$9-$O$8+1&lt;=$O$7,IF($O$8+L16&lt;=$O$9,$O$8+L16,""),IF(L16&lt;$O$10,$O$8+L16,ROUND($O$11*$O$12^(L16-$O$10+1),0))))</f>
        <v>2</v>
      </c>
      <c r="N16" s="24" t="n">
        <f aca="false">IF(M16="","",M16-M15)</f>
        <v>1</v>
      </c>
      <c r="O16" s="13" t="n">
        <f aca="false">IF(M16="","",SQRT(M16*2^$O$4))</f>
        <v>0.707106781186548</v>
      </c>
      <c r="Q16" s="25" t="n">
        <v>2</v>
      </c>
      <c r="R16" s="25" t="n">
        <f aca="false">$O$8+Q16-1</f>
        <v>2</v>
      </c>
      <c r="S16" s="26" t="n">
        <f aca="false">IF(Q16&lt;=$O$7-1,($O$9/R16)^(1/($O$7-Q16)),"")</f>
        <v>1.20808944440445</v>
      </c>
      <c r="T16" s="25" t="n">
        <f aca="false">IF(S16="",0,IF(R16*(S16-1)&gt;=1,1,0))</f>
        <v>0</v>
      </c>
      <c r="W16" s="24" t="n">
        <f aca="false">W15+1</f>
        <v>1</v>
      </c>
      <c r="X16" s="24" t="n">
        <f aca="false">IF(W16&gt;=$Z$7,"",IF($Z$9-$Z$8+1&lt;=$Z$7,IF($Z$8+W16&lt;=$Z$9,$Z$8+W16,""),IF(W16&lt;$Z$10,$Z$8+W16,ROUND($Z$11*$Z$12^(W16-$Z$10+1),0))))</f>
        <v>5</v>
      </c>
      <c r="Y16" s="24" t="n">
        <f aca="false">IF(X16="","",X16-X15)</f>
        <v>1</v>
      </c>
      <c r="Z16" s="13" t="n">
        <f aca="false">IF(X16="","",SQRT(X16*2^$Z$4))</f>
        <v>2.23606797749979</v>
      </c>
      <c r="AB16" s="25" t="n">
        <v>2</v>
      </c>
      <c r="AC16" s="25" t="n">
        <f aca="false">$Z$8+AB16-1</f>
        <v>5</v>
      </c>
      <c r="AD16" s="26" t="n">
        <f aca="false">IF(AB16&lt;=$Z$7-1,($Z$9/AC16)^(1/($Z$7-AB16)),"")</f>
        <v>1.1115339327095</v>
      </c>
      <c r="AE16" s="25" t="n">
        <f aca="false">IF(AD16="",0,IF(AC16*(AD16-1)&gt;=1,1,0))</f>
        <v>0</v>
      </c>
      <c r="AH16" s="24" t="n">
        <f aca="false">AH15+1</f>
        <v>1</v>
      </c>
      <c r="AI16" s="24" t="n">
        <f aca="false">IF(AH16&gt;=$AK$7,"",IF($AK$9-$AK$8+1&lt;=$AK$7,IF($AK$8+AH16&lt;=$AK$9,$AK$8+AH16,""),IF(AH16&lt;$AK$10,$AK$8+AH16,ROUND($AK$11*$AK$12^(AH16-$AK$10+1),0))))</f>
        <v>5</v>
      </c>
      <c r="AJ16" s="24" t="n">
        <f aca="false">IF(AI16="","",AI16-AI15)</f>
        <v>1</v>
      </c>
      <c r="AK16" s="13" t="n">
        <f aca="false">IF(AI16="","",SQRT(AI16*2^$AK$4))</f>
        <v>4.47213595499958</v>
      </c>
      <c r="AM16" s="25" t="n">
        <v>2</v>
      </c>
      <c r="AN16" s="25" t="n">
        <f aca="false">$AK$8+AM16-1</f>
        <v>5</v>
      </c>
      <c r="AO16" s="26" t="n">
        <f aca="false">IF(AM16&lt;=$AK$7-1,($AK$9/AN16)^(1/($AK$7-AM16)),"")</f>
        <v>1.1115339327095</v>
      </c>
      <c r="AP16" s="25" t="n">
        <f aca="false">IF(AO16="",0,IF(AN16*(AO16-1)&gt;=1,1,0))</f>
        <v>0</v>
      </c>
    </row>
    <row r="17" customFormat="false" ht="15" hidden="false" customHeight="false" outlineLevel="0" collapsed="false">
      <c r="A17" s="13" t="n">
        <f aca="false">IF(B17="","",$J$11-J17)</f>
        <v>-2</v>
      </c>
      <c r="B17" s="21" t="n">
        <f aca="false">IF(2&lt;$O$13,INDEX($M$15:$M$74,3),IF(2&lt;$O$13+$Z$13,INDEX($X$15:$X$74,2-$O$13+1),IF(2&lt;$O$13+$Z$13+$AK$13,INDEX($AI$15:$AI$74,2-$O$13-$Z$13+1),"")))</f>
        <v>3</v>
      </c>
      <c r="C17" s="22"/>
      <c r="D17" s="22"/>
      <c r="E17" s="22"/>
      <c r="F17" s="22"/>
      <c r="G17" s="22"/>
      <c r="H17" s="22"/>
      <c r="I17" s="23" t="n">
        <f aca="false">IF(B17="",0,SQRT(B17*2^N(A17)))</f>
        <v>0.866025403784439</v>
      </c>
      <c r="J17" s="12" t="n">
        <f aca="false">IF(B17="","",IF(2&lt;$O$13,$O$3,IF(2&lt;$O$13+$Z$13,$Z$3,$AK$3)))</f>
        <v>4</v>
      </c>
      <c r="L17" s="24" t="n">
        <f aca="false">L16+1</f>
        <v>2</v>
      </c>
      <c r="M17" s="24" t="n">
        <f aca="false">IF(L17&gt;=$O$7,"",IF($O$9-$O$8+1&lt;=$O$7,IF($O$8+L17&lt;=$O$9,$O$8+L17,""),IF(L17&lt;$O$10,$O$8+L17,ROUND($O$11*$O$12^(L17-$O$10+1),0))))</f>
        <v>3</v>
      </c>
      <c r="N17" s="24" t="n">
        <f aca="false">IF(M17="","",M17-M16)</f>
        <v>1</v>
      </c>
      <c r="O17" s="13" t="n">
        <f aca="false">IF(M17="","",SQRT(M17*2^$O$4))</f>
        <v>0.866025403784439</v>
      </c>
      <c r="Q17" s="25" t="n">
        <v>3</v>
      </c>
      <c r="R17" s="25" t="n">
        <f aca="false">$O$8+Q17-1</f>
        <v>3</v>
      </c>
      <c r="S17" s="26" t="n">
        <f aca="false">IF(Q17&lt;=$O$7-1,($O$9/R17)^(1/($O$7-Q17)),"")</f>
        <v>1.18222427548378</v>
      </c>
      <c r="T17" s="25" t="n">
        <f aca="false">IF(S17="",0,IF(R17*(S17-1)&gt;=1,1,0))</f>
        <v>0</v>
      </c>
      <c r="W17" s="24" t="n">
        <f aca="false">W16+1</f>
        <v>2</v>
      </c>
      <c r="X17" s="24" t="n">
        <f aca="false">IF(W17&gt;=$Z$7,"",IF($Z$9-$Z$8+1&lt;=$Z$7,IF($Z$8+W17&lt;=$Z$9,$Z$8+W17,""),IF(W17&lt;$Z$10,$Z$8+W17,ROUND($Z$11*$Z$12^(W17-$Z$10+1),0))))</f>
        <v>6</v>
      </c>
      <c r="Y17" s="24" t="n">
        <f aca="false">IF(X17="","",X17-X16)</f>
        <v>1</v>
      </c>
      <c r="Z17" s="13" t="n">
        <f aca="false">IF(X17="","",SQRT(X17*2^$Z$4))</f>
        <v>2.44948974278318</v>
      </c>
      <c r="AB17" s="25" t="n">
        <v>3</v>
      </c>
      <c r="AC17" s="25" t="n">
        <f aca="false">$Z$8+AB17-1</f>
        <v>6</v>
      </c>
      <c r="AD17" s="26" t="n">
        <f aca="false">IF(AB17&lt;=$Z$7-1,($Z$9/AC17)^(1/($Z$7-AB17)),"")</f>
        <v>1.10305425242207</v>
      </c>
      <c r="AE17" s="25" t="n">
        <f aca="false">IF(AD17="",0,IF(AC17*(AD17-1)&gt;=1,1,0))</f>
        <v>0</v>
      </c>
      <c r="AH17" s="24" t="n">
        <f aca="false">AH16+1</f>
        <v>2</v>
      </c>
      <c r="AI17" s="24" t="n">
        <f aca="false">IF(AH17&gt;=$AK$7,"",IF($AK$9-$AK$8+1&lt;=$AK$7,IF($AK$8+AH17&lt;=$AK$9,$AK$8+AH17,""),IF(AH17&lt;$AK$10,$AK$8+AH17,ROUND($AK$11*$AK$12^(AH17-$AK$10+1),0))))</f>
        <v>6</v>
      </c>
      <c r="AJ17" s="24" t="n">
        <f aca="false">IF(AI17="","",AI17-AI16)</f>
        <v>1</v>
      </c>
      <c r="AK17" s="13" t="n">
        <f aca="false">IF(AI17="","",SQRT(AI17*2^$AK$4))</f>
        <v>4.89897948556636</v>
      </c>
      <c r="AM17" s="25" t="n">
        <v>3</v>
      </c>
      <c r="AN17" s="25" t="n">
        <f aca="false">$AK$8+AM17-1</f>
        <v>6</v>
      </c>
      <c r="AO17" s="26" t="n">
        <f aca="false">IF(AM17&lt;=$AK$7-1,($AK$9/AN17)^(1/($AK$7-AM17)),"")</f>
        <v>1.10305425242207</v>
      </c>
      <c r="AP17" s="25" t="n">
        <f aca="false">IF(AO17="",0,IF(AN17*(AO17-1)&gt;=1,1,0))</f>
        <v>0</v>
      </c>
    </row>
    <row r="18" customFormat="false" ht="15" hidden="false" customHeight="false" outlineLevel="0" collapsed="false">
      <c r="A18" s="13" t="n">
        <f aca="false">IF(B18="","",$J$11-J18)</f>
        <v>-2</v>
      </c>
      <c r="B18" s="21" t="n">
        <f aca="false">IF(3&lt;$O$13,INDEX($M$15:$M$74,4),IF(3&lt;$O$13+$Z$13,INDEX($X$15:$X$74,3-$O$13+1),IF(3&lt;$O$13+$Z$13+$AK$13,INDEX($AI$15:$AI$74,3-$O$13-$Z$13+1),"")))</f>
        <v>4</v>
      </c>
      <c r="C18" s="22"/>
      <c r="D18" s="22"/>
      <c r="E18" s="22"/>
      <c r="F18" s="22"/>
      <c r="G18" s="22"/>
      <c r="H18" s="22"/>
      <c r="I18" s="23" t="n">
        <f aca="false">IF(B18="",0,SQRT(B18*2^N(A18)))</f>
        <v>1</v>
      </c>
      <c r="J18" s="12" t="n">
        <f aca="false">IF(B18="","",IF(3&lt;$O$13,$O$3,IF(3&lt;$O$13+$Z$13,$Z$3,$AK$3)))</f>
        <v>4</v>
      </c>
      <c r="L18" s="24" t="n">
        <f aca="false">L17+1</f>
        <v>3</v>
      </c>
      <c r="M18" s="24" t="n">
        <f aca="false">IF(L18&gt;=$O$7,"",IF($O$9-$O$8+1&lt;=$O$7,IF($O$8+L18&lt;=$O$9,$O$8+L18,""),IF(L18&lt;$O$10,$O$8+L18,ROUND($O$11*$O$12^(L18-$O$10+1),0))))</f>
        <v>4</v>
      </c>
      <c r="N18" s="24" t="n">
        <f aca="false">IF(M18="","",M18-M17)</f>
        <v>1</v>
      </c>
      <c r="O18" s="13" t="n">
        <f aca="false">IF(M18="","",SQRT(M18*2^$O$4))</f>
        <v>1</v>
      </c>
      <c r="Q18" s="25" t="n">
        <v>4</v>
      </c>
      <c r="R18" s="25" t="n">
        <f aca="false">$O$8+Q18-1</f>
        <v>4</v>
      </c>
      <c r="S18" s="26" t="n">
        <f aca="false">IF(Q18&lt;=$O$7-1,($O$9/R18)^(1/($O$7-Q18)),"")</f>
        <v>1.16652903957612</v>
      </c>
      <c r="T18" s="25" t="n">
        <f aca="false">IF(S18="",0,IF(R18*(S18-1)&gt;=1,1,0))</f>
        <v>0</v>
      </c>
      <c r="W18" s="24" t="n">
        <f aca="false">W17+1</f>
        <v>3</v>
      </c>
      <c r="X18" s="24" t="n">
        <f aca="false">IF(W18&gt;=$Z$7,"",IF($Z$9-$Z$8+1&lt;=$Z$7,IF($Z$8+W18&lt;=$Z$9,$Z$8+W18,""),IF(W18&lt;$Z$10,$Z$8+W18,ROUND($Z$11*$Z$12^(W18-$Z$10+1),0))))</f>
        <v>7</v>
      </c>
      <c r="Y18" s="24" t="n">
        <f aca="false">IF(X18="","",X18-X17)</f>
        <v>1</v>
      </c>
      <c r="Z18" s="13" t="n">
        <f aca="false">IF(X18="","",SQRT(X18*2^$Z$4))</f>
        <v>2.64575131106459</v>
      </c>
      <c r="AB18" s="25" t="n">
        <v>4</v>
      </c>
      <c r="AC18" s="25" t="n">
        <f aca="false">$Z$8+AB18-1</f>
        <v>7</v>
      </c>
      <c r="AD18" s="26" t="n">
        <f aca="false">IF(AB18&lt;=$Z$7-1,($Z$9/AC18)^(1/($Z$7-AB18)),"")</f>
        <v>1.09620385991159</v>
      </c>
      <c r="AE18" s="25" t="n">
        <f aca="false">IF(AD18="",0,IF(AC18*(AD18-1)&gt;=1,1,0))</f>
        <v>0</v>
      </c>
      <c r="AH18" s="24" t="n">
        <f aca="false">AH17+1</f>
        <v>3</v>
      </c>
      <c r="AI18" s="24" t="n">
        <f aca="false">IF(AH18&gt;=$AK$7,"",IF($AK$9-$AK$8+1&lt;=$AK$7,IF($AK$8+AH18&lt;=$AK$9,$AK$8+AH18,""),IF(AH18&lt;$AK$10,$AK$8+AH18,ROUND($AK$11*$AK$12^(AH18-$AK$10+1),0))))</f>
        <v>7</v>
      </c>
      <c r="AJ18" s="24" t="n">
        <f aca="false">IF(AI18="","",AI18-AI17)</f>
        <v>1</v>
      </c>
      <c r="AK18" s="13" t="n">
        <f aca="false">IF(AI18="","",SQRT(AI18*2^$AK$4))</f>
        <v>5.29150262212918</v>
      </c>
      <c r="AM18" s="25" t="n">
        <v>4</v>
      </c>
      <c r="AN18" s="25" t="n">
        <f aca="false">$AK$8+AM18-1</f>
        <v>7</v>
      </c>
      <c r="AO18" s="26" t="n">
        <f aca="false">IF(AM18&lt;=$AK$7-1,($AK$9/AN18)^(1/($AK$7-AM18)),"")</f>
        <v>1.09620385991159</v>
      </c>
      <c r="AP18" s="25" t="n">
        <f aca="false">IF(AO18="",0,IF(AN18*(AO18-1)&gt;=1,1,0))</f>
        <v>0</v>
      </c>
    </row>
    <row r="19" customFormat="false" ht="15" hidden="false" customHeight="false" outlineLevel="0" collapsed="false">
      <c r="A19" s="13" t="n">
        <f aca="false">IF(B19="","",$J$11-J19)</f>
        <v>-2</v>
      </c>
      <c r="B19" s="21" t="n">
        <f aca="false">IF(4&lt;$O$13,INDEX($M$15:$M$74,5),IF(4&lt;$O$13+$Z$13,INDEX($X$15:$X$74,4-$O$13+1),IF(4&lt;$O$13+$Z$13+$AK$13,INDEX($AI$15:$AI$74,4-$O$13-$Z$13+1),"")))</f>
        <v>5</v>
      </c>
      <c r="C19" s="22"/>
      <c r="D19" s="22"/>
      <c r="E19" s="22"/>
      <c r="F19" s="22"/>
      <c r="G19" s="22"/>
      <c r="H19" s="22"/>
      <c r="I19" s="23" t="n">
        <f aca="false">IF(B19="",0,SQRT(B19*2^N(A19)))</f>
        <v>1.1180339887499</v>
      </c>
      <c r="J19" s="12" t="n">
        <f aca="false">IF(B19="","",IF(4&lt;$O$13,$O$3,IF(4&lt;$O$13+$Z$13,$Z$3,$AK$3)))</f>
        <v>4</v>
      </c>
      <c r="L19" s="24" t="n">
        <f aca="false">L18+1</f>
        <v>4</v>
      </c>
      <c r="M19" s="24" t="n">
        <f aca="false">IF(L19&gt;=$O$7,"",IF($O$9-$O$8+1&lt;=$O$7,IF($O$8+L19&lt;=$O$9,$O$8+L19,""),IF(L19&lt;$O$10,$O$8+L19,ROUND($O$11*$O$12^(L19-$O$10+1),0))))</f>
        <v>5</v>
      </c>
      <c r="N19" s="24" t="n">
        <f aca="false">IF(M19="","",M19-M18)</f>
        <v>1</v>
      </c>
      <c r="O19" s="13" t="n">
        <f aca="false">IF(M19="","",SQRT(M19*2^$O$4))</f>
        <v>1.1180339887499</v>
      </c>
      <c r="Q19" s="25" t="n">
        <v>5</v>
      </c>
      <c r="R19" s="25" t="n">
        <f aca="false">$O$8+Q19-1</f>
        <v>5</v>
      </c>
      <c r="S19" s="26" t="n">
        <f aca="false">IF(Q19&lt;=$O$7-1,($O$9/R19)^(1/($O$7-Q19)),"")</f>
        <v>1.15649496754324</v>
      </c>
      <c r="T19" s="25" t="n">
        <f aca="false">IF(S19="",0,IF(R19*(S19-1)&gt;=1,1,0))</f>
        <v>0</v>
      </c>
      <c r="W19" s="24" t="n">
        <f aca="false">W18+1</f>
        <v>4</v>
      </c>
      <c r="X19" s="24" t="n">
        <f aca="false">IF(W19&gt;=$Z$7,"",IF($Z$9-$Z$8+1&lt;=$Z$7,IF($Z$8+W19&lt;=$Z$9,$Z$8+W19,""),IF(W19&lt;$Z$10,$Z$8+W19,ROUND($Z$11*$Z$12^(W19-$Z$10+1),0))))</f>
        <v>8</v>
      </c>
      <c r="Y19" s="24" t="n">
        <f aca="false">IF(X19="","",X19-X18)</f>
        <v>1</v>
      </c>
      <c r="Z19" s="13" t="n">
        <f aca="false">IF(X19="","",SQRT(X19*2^$Z$4))</f>
        <v>2.82842712474619</v>
      </c>
      <c r="AB19" s="25" t="n">
        <v>5</v>
      </c>
      <c r="AC19" s="25" t="n">
        <f aca="false">$Z$8+AB19-1</f>
        <v>8</v>
      </c>
      <c r="AD19" s="26" t="n">
        <f aca="false">IF(AB19&lt;=$Z$7-1,($Z$9/AC19)^(1/($Z$7-AB19)),"")</f>
        <v>1.09050773266526</v>
      </c>
      <c r="AE19" s="25" t="n">
        <f aca="false">IF(AD19="",0,IF(AC19*(AD19-1)&gt;=1,1,0))</f>
        <v>0</v>
      </c>
      <c r="AH19" s="24" t="n">
        <f aca="false">AH18+1</f>
        <v>4</v>
      </c>
      <c r="AI19" s="24" t="n">
        <f aca="false">IF(AH19&gt;=$AK$7,"",IF($AK$9-$AK$8+1&lt;=$AK$7,IF($AK$8+AH19&lt;=$AK$9,$AK$8+AH19,""),IF(AH19&lt;$AK$10,$AK$8+AH19,ROUND($AK$11*$AK$12^(AH19-$AK$10+1),0))))</f>
        <v>8</v>
      </c>
      <c r="AJ19" s="24" t="n">
        <f aca="false">IF(AI19="","",AI19-AI18)</f>
        <v>1</v>
      </c>
      <c r="AK19" s="13" t="n">
        <f aca="false">IF(AI19="","",SQRT(AI19*2^$AK$4))</f>
        <v>5.65685424949238</v>
      </c>
      <c r="AM19" s="25" t="n">
        <v>5</v>
      </c>
      <c r="AN19" s="25" t="n">
        <f aca="false">$AK$8+AM19-1</f>
        <v>8</v>
      </c>
      <c r="AO19" s="26" t="n">
        <f aca="false">IF(AM19&lt;=$AK$7-1,($AK$9/AN19)^(1/($AK$7-AM19)),"")</f>
        <v>1.09050773266526</v>
      </c>
      <c r="AP19" s="25" t="n">
        <f aca="false">IF(AO19="",0,IF(AN19*(AO19-1)&gt;=1,1,0))</f>
        <v>0</v>
      </c>
    </row>
    <row r="20" customFormat="false" ht="15" hidden="false" customHeight="false" outlineLevel="0" collapsed="false">
      <c r="A20" s="13" t="n">
        <f aca="false">IF(B20="","",$J$11-J20)</f>
        <v>-2</v>
      </c>
      <c r="B20" s="21" t="n">
        <f aca="false">IF(5&lt;$O$13,INDEX($M$15:$M$74,6),IF(5&lt;$O$13+$Z$13,INDEX($X$15:$X$74,5-$O$13+1),IF(5&lt;$O$13+$Z$13+$AK$13,INDEX($AI$15:$AI$74,5-$O$13-$Z$13+1),"")))</f>
        <v>6</v>
      </c>
      <c r="C20" s="22"/>
      <c r="D20" s="22"/>
      <c r="E20" s="22"/>
      <c r="F20" s="22"/>
      <c r="G20" s="22"/>
      <c r="H20" s="22"/>
      <c r="I20" s="23" t="n">
        <f aca="false">IF(B20="",0,SQRT(B20*2^N(A20)))</f>
        <v>1.22474487139159</v>
      </c>
      <c r="J20" s="12" t="n">
        <f aca="false">IF(B20="","",IF(5&lt;$O$13,$O$3,IF(5&lt;$O$13+$Z$13,$Z$3,$AK$3)))</f>
        <v>4</v>
      </c>
      <c r="L20" s="24" t="n">
        <f aca="false">L19+1</f>
        <v>5</v>
      </c>
      <c r="M20" s="24" t="n">
        <f aca="false">IF(L20&gt;=$O$7,"",IF($O$9-$O$8+1&lt;=$O$7,IF($O$8+L20&lt;=$O$9,$O$8+L20,""),IF(L20&lt;$O$10,$O$8+L20,ROUND($O$11*$O$12^(L20-$O$10+1),0))))</f>
        <v>6</v>
      </c>
      <c r="N20" s="24" t="n">
        <f aca="false">IF(M20="","",M20-M19)</f>
        <v>1</v>
      </c>
      <c r="O20" s="13" t="n">
        <f aca="false">IF(M20="","",SQRT(M20*2^$O$4))</f>
        <v>1.22474487139159</v>
      </c>
      <c r="Q20" s="25" t="n">
        <v>6</v>
      </c>
      <c r="R20" s="25" t="n">
        <f aca="false">$O$8+Q20-1</f>
        <v>6</v>
      </c>
      <c r="S20" s="26" t="n">
        <f aca="false">IF(Q20&lt;=$O$7-1,($O$9/R20)^(1/($O$7-Q20)),"")</f>
        <v>1.15041007378781</v>
      </c>
      <c r="T20" s="25" t="n">
        <f aca="false">IF(S20="",0,IF(R20*(S20-1)&gt;=1,1,0))</f>
        <v>0</v>
      </c>
      <c r="W20" s="24" t="n">
        <f aca="false">W19+1</f>
        <v>5</v>
      </c>
      <c r="X20" s="24" t="n">
        <f aca="false">IF(W20&gt;=$Z$7,"",IF($Z$9-$Z$8+1&lt;=$Z$7,IF($Z$8+W20&lt;=$Z$9,$Z$8+W20,""),IF(W20&lt;$Z$10,$Z$8+W20,ROUND($Z$11*$Z$12^(W20-$Z$10+1),0))))</f>
        <v>9</v>
      </c>
      <c r="Y20" s="24" t="n">
        <f aca="false">IF(X20="","",X20-X19)</f>
        <v>1</v>
      </c>
      <c r="Z20" s="13" t="n">
        <f aca="false">IF(X20="","",SQRT(X20*2^$Z$4))</f>
        <v>3</v>
      </c>
      <c r="AB20" s="25" t="n">
        <v>6</v>
      </c>
      <c r="AC20" s="25" t="n">
        <f aca="false">$Z$8+AB20-1</f>
        <v>9</v>
      </c>
      <c r="AD20" s="26" t="n">
        <f aca="false">IF(AB20&lt;=$Z$7-1,($Z$9/AC20)^(1/($Z$7-AB20)),"")</f>
        <v>1.08566736172956</v>
      </c>
      <c r="AE20" s="25" t="n">
        <f aca="false">IF(AD20="",0,IF(AC20*(AD20-1)&gt;=1,1,0))</f>
        <v>0</v>
      </c>
      <c r="AH20" s="24" t="n">
        <f aca="false">AH19+1</f>
        <v>5</v>
      </c>
      <c r="AI20" s="24" t="n">
        <f aca="false">IF(AH20&gt;=$AK$7,"",IF($AK$9-$AK$8+1&lt;=$AK$7,IF($AK$8+AH20&lt;=$AK$9,$AK$8+AH20,""),IF(AH20&lt;$AK$10,$AK$8+AH20,ROUND($AK$11*$AK$12^(AH20-$AK$10+1),0))))</f>
        <v>9</v>
      </c>
      <c r="AJ20" s="24" t="n">
        <f aca="false">IF(AI20="","",AI20-AI19)</f>
        <v>1</v>
      </c>
      <c r="AK20" s="13" t="n">
        <f aca="false">IF(AI20="","",SQRT(AI20*2^$AK$4))</f>
        <v>6</v>
      </c>
      <c r="AM20" s="25" t="n">
        <v>6</v>
      </c>
      <c r="AN20" s="25" t="n">
        <f aca="false">$AK$8+AM20-1</f>
        <v>9</v>
      </c>
      <c r="AO20" s="26" t="n">
        <f aca="false">IF(AM20&lt;=$AK$7-1,($AK$9/AN20)^(1/($AK$7-AM20)),"")</f>
        <v>1.08566736172956</v>
      </c>
      <c r="AP20" s="25" t="n">
        <f aca="false">IF(AO20="",0,IF(AN20*(AO20-1)&gt;=1,1,0))</f>
        <v>0</v>
      </c>
    </row>
    <row r="21" customFormat="false" ht="15" hidden="false" customHeight="false" outlineLevel="0" collapsed="false">
      <c r="A21" s="13" t="n">
        <f aca="false">IF(B21="","",$J$11-J21)</f>
        <v>-2</v>
      </c>
      <c r="B21" s="21" t="n">
        <f aca="false">IF(6&lt;$O$13,INDEX($M$15:$M$74,7),IF(6&lt;$O$13+$Z$13,INDEX($X$15:$X$74,6-$O$13+1),IF(6&lt;$O$13+$Z$13+$AK$13,INDEX($AI$15:$AI$74,6-$O$13-$Z$13+1),"")))</f>
        <v>7</v>
      </c>
      <c r="C21" s="22"/>
      <c r="D21" s="22"/>
      <c r="E21" s="22"/>
      <c r="F21" s="22"/>
      <c r="G21" s="22"/>
      <c r="H21" s="22"/>
      <c r="I21" s="23" t="n">
        <f aca="false">IF(B21="",0,SQRT(B21*2^N(A21)))</f>
        <v>1.3228756555323</v>
      </c>
      <c r="J21" s="12" t="n">
        <f aca="false">IF(B21="","",IF(6&lt;$O$13,$O$3,IF(6&lt;$O$13+$Z$13,$Z$3,$AK$3)))</f>
        <v>4</v>
      </c>
      <c r="L21" s="24" t="n">
        <f aca="false">L20+1</f>
        <v>6</v>
      </c>
      <c r="M21" s="24" t="n">
        <f aca="false">IF(L21&gt;=$O$7,"",IF($O$9-$O$8+1&lt;=$O$7,IF($O$8+L21&lt;=$O$9,$O$8+L21,""),IF(L21&lt;$O$10,$O$8+L21,ROUND($O$11*$O$12^(L21-$O$10+1),0))))</f>
        <v>7</v>
      </c>
      <c r="N21" s="24" t="n">
        <f aca="false">IF(M21="","",M21-M20)</f>
        <v>1</v>
      </c>
      <c r="O21" s="13" t="n">
        <f aca="false">IF(M21="","",SQRT(M21*2^$O$4))</f>
        <v>1.3228756555323</v>
      </c>
      <c r="Q21" s="25" t="n">
        <v>7</v>
      </c>
      <c r="R21" s="25" t="n">
        <f aca="false">$O$8+Q21-1</f>
        <v>7</v>
      </c>
      <c r="S21" s="26" t="n">
        <f aca="false">IF(Q21&lt;=$O$7-1,($O$9/R21)^(1/($O$7-Q21)),"")</f>
        <v>1.14772275050062</v>
      </c>
      <c r="T21" s="25" t="n">
        <f aca="false">IF(S21="",0,IF(R21*(S21-1)&gt;=1,1,0))</f>
        <v>1</v>
      </c>
      <c r="W21" s="24" t="n">
        <f aca="false">W20+1</f>
        <v>6</v>
      </c>
      <c r="X21" s="24" t="n">
        <f aca="false">IF(W21&gt;=$Z$7,"",IF($Z$9-$Z$8+1&lt;=$Z$7,IF($Z$8+W21&lt;=$Z$9,$Z$8+W21,""),IF(W21&lt;$Z$10,$Z$8+W21,ROUND($Z$11*$Z$12^(W21-$Z$10+1),0))))</f>
        <v>10</v>
      </c>
      <c r="Y21" s="24" t="n">
        <f aca="false">IF(X21="","",X21-X20)</f>
        <v>1</v>
      </c>
      <c r="Z21" s="13" t="n">
        <f aca="false">IF(X21="","",SQRT(X21*2^$Z$4))</f>
        <v>3.16227766016838</v>
      </c>
      <c r="AB21" s="25" t="n">
        <v>7</v>
      </c>
      <c r="AC21" s="25" t="n">
        <f aca="false">$Z$8+AB21-1</f>
        <v>10</v>
      </c>
      <c r="AD21" s="26" t="n">
        <f aca="false">IF(AB21&lt;=$Z$7-1,($Z$9/AC21)^(1/($Z$7-AB21)),"")</f>
        <v>1.0814837471202</v>
      </c>
      <c r="AE21" s="25" t="n">
        <f aca="false">IF(AD21="",0,IF(AC21*(AD21-1)&gt;=1,1,0))</f>
        <v>0</v>
      </c>
      <c r="AH21" s="24" t="n">
        <f aca="false">AH20+1</f>
        <v>6</v>
      </c>
      <c r="AI21" s="24" t="n">
        <f aca="false">IF(AH21&gt;=$AK$7,"",IF($AK$9-$AK$8+1&lt;=$AK$7,IF($AK$8+AH21&lt;=$AK$9,$AK$8+AH21,""),IF(AH21&lt;$AK$10,$AK$8+AH21,ROUND($AK$11*$AK$12^(AH21-$AK$10+1),0))))</f>
        <v>10</v>
      </c>
      <c r="AJ21" s="24" t="n">
        <f aca="false">IF(AI21="","",AI21-AI20)</f>
        <v>1</v>
      </c>
      <c r="AK21" s="13" t="n">
        <f aca="false">IF(AI21="","",SQRT(AI21*2^$AK$4))</f>
        <v>6.32455532033676</v>
      </c>
      <c r="AM21" s="25" t="n">
        <v>7</v>
      </c>
      <c r="AN21" s="25" t="n">
        <f aca="false">$AK$8+AM21-1</f>
        <v>10</v>
      </c>
      <c r="AO21" s="26" t="n">
        <f aca="false">IF(AM21&lt;=$AK$7-1,($AK$9/AN21)^(1/($AK$7-AM21)),"")</f>
        <v>1.0814837471202</v>
      </c>
      <c r="AP21" s="25" t="n">
        <f aca="false">IF(AO21="",0,IF(AN21*(AO21-1)&gt;=1,1,0))</f>
        <v>0</v>
      </c>
    </row>
    <row r="22" customFormat="false" ht="15" hidden="false" customHeight="false" outlineLevel="0" collapsed="false">
      <c r="A22" s="13" t="n">
        <f aca="false">IF(B22="","",$J$11-J22)</f>
        <v>-2</v>
      </c>
      <c r="B22" s="21" t="n">
        <f aca="false">IF(7&lt;$O$13,INDEX($M$15:$M$74,8),IF(7&lt;$O$13+$Z$13,INDEX($X$15:$X$74,7-$O$13+1),IF(7&lt;$O$13+$Z$13+$AK$13,INDEX($AI$15:$AI$74,7-$O$13-$Z$13+1),"")))</f>
        <v>8</v>
      </c>
      <c r="C22" s="22"/>
      <c r="D22" s="22"/>
      <c r="E22" s="22"/>
      <c r="F22" s="22"/>
      <c r="G22" s="22"/>
      <c r="H22" s="22"/>
      <c r="I22" s="23" t="n">
        <f aca="false">IF(B22="",0,SQRT(B22*2^N(A22)))</f>
        <v>1.4142135623731</v>
      </c>
      <c r="J22" s="12" t="n">
        <f aca="false">IF(B22="","",IF(7&lt;$O$13,$O$3,IF(7&lt;$O$13+$Z$13,$Z$3,$AK$3)))</f>
        <v>4</v>
      </c>
      <c r="L22" s="24" t="n">
        <f aca="false">L21+1</f>
        <v>7</v>
      </c>
      <c r="M22" s="24" t="n">
        <f aca="false">IF(L22&gt;=$O$7,"",IF($O$9-$O$8+1&lt;=$O$7,IF($O$8+L22&lt;=$O$9,$O$8+L22,""),IF(L22&lt;$O$10,$O$8+L22,ROUND($O$11*$O$12^(L22-$O$10+1),0))))</f>
        <v>8</v>
      </c>
      <c r="N22" s="24" t="n">
        <f aca="false">IF(M22="","",M22-M21)</f>
        <v>1</v>
      </c>
      <c r="O22" s="13" t="n">
        <f aca="false">IF(M22="","",SQRT(M22*2^$O$4))</f>
        <v>1.4142135623731</v>
      </c>
      <c r="Q22" s="25" t="n">
        <v>8</v>
      </c>
      <c r="R22" s="25" t="n">
        <f aca="false">$O$8+Q22-1</f>
        <v>8</v>
      </c>
      <c r="S22" s="26" t="n">
        <f aca="false">IF(Q22&lt;=$O$7-1,($O$9/R22)^(1/($O$7-Q22)),"")</f>
        <v>1.14869835499704</v>
      </c>
      <c r="T22" s="25" t="n">
        <f aca="false">IF(S22="",0,IF(R22*(S22-1)&gt;=1,1,0))</f>
        <v>1</v>
      </c>
      <c r="W22" s="24" t="n">
        <f aca="false">W21+1</f>
        <v>7</v>
      </c>
      <c r="X22" s="24" t="n">
        <f aca="false">IF(W22&gt;=$Z$7,"",IF($Z$9-$Z$8+1&lt;=$Z$7,IF($Z$8+W22&lt;=$Z$9,$Z$8+W22,""),IF(W22&lt;$Z$10,$Z$8+W22,ROUND($Z$11*$Z$12^(W22-$Z$10+1),0))))</f>
        <v>11</v>
      </c>
      <c r="Y22" s="24" t="n">
        <f aca="false">IF(X22="","",X22-X21)</f>
        <v>1</v>
      </c>
      <c r="Z22" s="13" t="n">
        <f aca="false">IF(X22="","",SQRT(X22*2^$Z$4))</f>
        <v>3.3166247903554</v>
      </c>
      <c r="AB22" s="25" t="n">
        <v>8</v>
      </c>
      <c r="AC22" s="25" t="n">
        <f aca="false">$Z$8+AB22-1</f>
        <v>11</v>
      </c>
      <c r="AD22" s="26" t="n">
        <f aca="false">IF(AB22&lt;=$Z$7-1,($Z$9/AC22)^(1/($Z$7-AB22)),"")</f>
        <v>1.07781806771273</v>
      </c>
      <c r="AE22" s="25" t="n">
        <f aca="false">IF(AD22="",0,IF(AC22*(AD22-1)&gt;=1,1,0))</f>
        <v>0</v>
      </c>
      <c r="AH22" s="24" t="n">
        <f aca="false">AH21+1</f>
        <v>7</v>
      </c>
      <c r="AI22" s="24" t="n">
        <f aca="false">IF(AH22&gt;=$AK$7,"",IF($AK$9-$AK$8+1&lt;=$AK$7,IF($AK$8+AH22&lt;=$AK$9,$AK$8+AH22,""),IF(AH22&lt;$AK$10,$AK$8+AH22,ROUND($AK$11*$AK$12^(AH22-$AK$10+1),0))))</f>
        <v>11</v>
      </c>
      <c r="AJ22" s="24" t="n">
        <f aca="false">IF(AI22="","",AI22-AI21)</f>
        <v>1</v>
      </c>
      <c r="AK22" s="13" t="n">
        <f aca="false">IF(AI22="","",SQRT(AI22*2^$AK$4))</f>
        <v>6.6332495807108</v>
      </c>
      <c r="AM22" s="25" t="n">
        <v>8</v>
      </c>
      <c r="AN22" s="25" t="n">
        <f aca="false">$AK$8+AM22-1</f>
        <v>11</v>
      </c>
      <c r="AO22" s="26" t="n">
        <f aca="false">IF(AM22&lt;=$AK$7-1,($AK$9/AN22)^(1/($AK$7-AM22)),"")</f>
        <v>1.07781806771273</v>
      </c>
      <c r="AP22" s="25" t="n">
        <f aca="false">IF(AO22="",0,IF(AN22*(AO22-1)&gt;=1,1,0))</f>
        <v>0</v>
      </c>
    </row>
    <row r="23" customFormat="false" ht="15" hidden="false" customHeight="false" outlineLevel="0" collapsed="false">
      <c r="A23" s="13" t="n">
        <f aca="false">IF(B23="","",$J$11-J23)</f>
        <v>-2</v>
      </c>
      <c r="B23" s="21" t="n">
        <f aca="false">IF(8&lt;$O$13,INDEX($M$15:$M$74,9),IF(8&lt;$O$13+$Z$13,INDEX($X$15:$X$74,8-$O$13+1),IF(8&lt;$O$13+$Z$13+$AK$13,INDEX($AI$15:$AI$74,8-$O$13-$Z$13+1),"")))</f>
        <v>9</v>
      </c>
      <c r="C23" s="22"/>
      <c r="D23" s="22"/>
      <c r="E23" s="22"/>
      <c r="F23" s="22"/>
      <c r="G23" s="22"/>
      <c r="H23" s="22"/>
      <c r="I23" s="23" t="n">
        <f aca="false">IF(B23="",0,SQRT(B23*2^N(A23)))</f>
        <v>1.5</v>
      </c>
      <c r="J23" s="12" t="n">
        <f aca="false">IF(B23="","",IF(8&lt;$O$13,$O$3,IF(8&lt;$O$13+$Z$13,$Z$3,$AK$3)))</f>
        <v>4</v>
      </c>
      <c r="L23" s="24" t="n">
        <f aca="false">L22+1</f>
        <v>8</v>
      </c>
      <c r="M23" s="24" t="n">
        <f aca="false">IF(L23&gt;=$O$7,"",IF($O$9-$O$8+1&lt;=$O$7,IF($O$8+L23&lt;=$O$9,$O$8+L23,""),IF(L23&lt;$O$10,$O$8+L23,ROUND($O$11*$O$12^(L23-$O$10+1),0))))</f>
        <v>9</v>
      </c>
      <c r="N23" s="24" t="n">
        <f aca="false">IF(M23="","",M23-M22)</f>
        <v>1</v>
      </c>
      <c r="O23" s="13" t="n">
        <f aca="false">IF(M23="","",SQRT(M23*2^$O$4))</f>
        <v>1.5</v>
      </c>
      <c r="Q23" s="25" t="n">
        <v>9</v>
      </c>
      <c r="R23" s="25" t="n">
        <f aca="false">$O$8+Q23-1</f>
        <v>9</v>
      </c>
      <c r="S23" s="26" t="n">
        <f aca="false">IF(Q23&lt;=$O$7-1,($O$9/R23)^(1/($O$7-Q23)),"")</f>
        <v>1.15470053837925</v>
      </c>
      <c r="T23" s="25" t="n">
        <f aca="false">IF(S23="",0,IF(R23*(S23-1)&gt;=1,1,0))</f>
        <v>1</v>
      </c>
      <c r="W23" s="24" t="n">
        <f aca="false">W22+1</f>
        <v>8</v>
      </c>
      <c r="X23" s="24" t="n">
        <f aca="false">IF(W23&gt;=$Z$7,"",IF($Z$9-$Z$8+1&lt;=$Z$7,IF($Z$8+W23&lt;=$Z$9,$Z$8+W23,""),IF(W23&lt;$Z$10,$Z$8+W23,ROUND($Z$11*$Z$12^(W23-$Z$10+1),0))))</f>
        <v>12</v>
      </c>
      <c r="Y23" s="24" t="n">
        <f aca="false">IF(X23="","",X23-X22)</f>
        <v>1</v>
      </c>
      <c r="Z23" s="13" t="n">
        <f aca="false">IF(X23="","",SQRT(X23*2^$Z$4))</f>
        <v>3.46410161513775</v>
      </c>
      <c r="AB23" s="25" t="n">
        <v>9</v>
      </c>
      <c r="AC23" s="25" t="n">
        <f aca="false">$Z$8+AB23-1</f>
        <v>12</v>
      </c>
      <c r="AD23" s="26" t="n">
        <f aca="false">IF(AB23&lt;=$Z$7-1,($Z$9/AC23)^(1/($Z$7-AB23)),"")</f>
        <v>1.07456993182354</v>
      </c>
      <c r="AE23" s="25" t="n">
        <f aca="false">IF(AD23="",0,IF(AC23*(AD23-1)&gt;=1,1,0))</f>
        <v>0</v>
      </c>
      <c r="AH23" s="24" t="n">
        <f aca="false">AH22+1</f>
        <v>8</v>
      </c>
      <c r="AI23" s="24" t="n">
        <f aca="false">IF(AH23&gt;=$AK$7,"",IF($AK$9-$AK$8+1&lt;=$AK$7,IF($AK$8+AH23&lt;=$AK$9,$AK$8+AH23,""),IF(AH23&lt;$AK$10,$AK$8+AH23,ROUND($AK$11*$AK$12^(AH23-$AK$10+1),0))))</f>
        <v>12</v>
      </c>
      <c r="AJ23" s="24" t="n">
        <f aca="false">IF(AI23="","",AI23-AI22)</f>
        <v>1</v>
      </c>
      <c r="AK23" s="13" t="n">
        <f aca="false">IF(AI23="","",SQRT(AI23*2^$AK$4))</f>
        <v>6.92820323027551</v>
      </c>
      <c r="AM23" s="25" t="n">
        <v>9</v>
      </c>
      <c r="AN23" s="25" t="n">
        <f aca="false">$AK$8+AM23-1</f>
        <v>12</v>
      </c>
      <c r="AO23" s="26" t="n">
        <f aca="false">IF(AM23&lt;=$AK$7-1,($AK$9/AN23)^(1/($AK$7-AM23)),"")</f>
        <v>1.07456993182354</v>
      </c>
      <c r="AP23" s="25" t="n">
        <f aca="false">IF(AO23="",0,IF(AN23*(AO23-1)&gt;=1,1,0))</f>
        <v>0</v>
      </c>
    </row>
    <row r="24" customFormat="false" ht="15" hidden="false" customHeight="false" outlineLevel="0" collapsed="false">
      <c r="A24" s="13" t="n">
        <f aca="false">IF(B24="","",$J$11-J24)</f>
        <v>-2</v>
      </c>
      <c r="B24" s="21" t="n">
        <f aca="false">IF(9&lt;$O$13,INDEX($M$15:$M$74,10),IF(9&lt;$O$13+$Z$13,INDEX($X$15:$X$74,9-$O$13+1),IF(9&lt;$O$13+$Z$13+$AK$13,INDEX($AI$15:$AI$74,9-$O$13-$Z$13+1),"")))</f>
        <v>11</v>
      </c>
      <c r="C24" s="22"/>
      <c r="D24" s="22"/>
      <c r="E24" s="22"/>
      <c r="F24" s="22"/>
      <c r="G24" s="22"/>
      <c r="H24" s="22"/>
      <c r="I24" s="23" t="n">
        <f aca="false">IF(B24="",0,SQRT(B24*2^N(A24)))</f>
        <v>1.6583123951777</v>
      </c>
      <c r="J24" s="12" t="n">
        <f aca="false">IF(B24="","",IF(9&lt;$O$13,$O$3,IF(9&lt;$O$13+$Z$13,$Z$3,$AK$3)))</f>
        <v>4</v>
      </c>
      <c r="L24" s="24" t="n">
        <f aca="false">L23+1</f>
        <v>9</v>
      </c>
      <c r="M24" s="24" t="n">
        <f aca="false">IF(L24&gt;=$O$7,"",IF($O$9-$O$8+1&lt;=$O$7,IF($O$8+L24&lt;=$O$9,$O$8+L24,""),IF(L24&lt;$O$10,$O$8+L24,ROUND($O$11*$O$12^(L24-$O$10+1),0))))</f>
        <v>11</v>
      </c>
      <c r="N24" s="24" t="n">
        <f aca="false">IF(M24="","",M24-M23)</f>
        <v>2</v>
      </c>
      <c r="O24" s="13" t="n">
        <f aca="false">IF(M24="","",SQRT(M24*2^$O$4))</f>
        <v>1.6583123951777</v>
      </c>
      <c r="Q24" s="25" t="n">
        <v>10</v>
      </c>
      <c r="R24" s="25" t="n">
        <f aca="false">$O$8+Q24-1</f>
        <v>10</v>
      </c>
      <c r="S24" s="26" t="n">
        <f aca="false">IF(Q24&lt;=$O$7-1,($O$9/R24)^(1/($O$7-Q24)),"")</f>
        <v>1.16960709528515</v>
      </c>
      <c r="T24" s="25" t="n">
        <f aca="false">IF(S24="",0,IF(R24*(S24-1)&gt;=1,1,0))</f>
        <v>1</v>
      </c>
      <c r="W24" s="24" t="n">
        <f aca="false">W23+1</f>
        <v>9</v>
      </c>
      <c r="X24" s="24" t="n">
        <f aca="false">IF(W24&gt;=$Z$7,"",IF($Z$9-$Z$8+1&lt;=$Z$7,IF($Z$8+W24&lt;=$Z$9,$Z$8+W24,""),IF(W24&lt;$Z$10,$Z$8+W24,ROUND($Z$11*$Z$12^(W24-$Z$10+1),0))))</f>
        <v>13</v>
      </c>
      <c r="Y24" s="24" t="n">
        <f aca="false">IF(X24="","",X24-X23)</f>
        <v>1</v>
      </c>
      <c r="Z24" s="13" t="n">
        <f aca="false">IF(X24="","",SQRT(X24*2^$Z$4))</f>
        <v>3.60555127546399</v>
      </c>
      <c r="AB24" s="25" t="n">
        <v>10</v>
      </c>
      <c r="AC24" s="25" t="n">
        <f aca="false">$Z$8+AB24-1</f>
        <v>13</v>
      </c>
      <c r="AD24" s="26" t="n">
        <f aca="false">IF(AB24&lt;=$Z$7-1,($Z$9/AC24)^(1/($Z$7-AB24)),"")</f>
        <v>1.07166457967425</v>
      </c>
      <c r="AE24" s="25" t="n">
        <f aca="false">IF(AD24="",0,IF(AC24*(AD24-1)&gt;=1,1,0))</f>
        <v>0</v>
      </c>
      <c r="AH24" s="24" t="n">
        <f aca="false">AH23+1</f>
        <v>9</v>
      </c>
      <c r="AI24" s="24" t="n">
        <f aca="false">IF(AH24&gt;=$AK$7,"",IF($AK$9-$AK$8+1&lt;=$AK$7,IF($AK$8+AH24&lt;=$AK$9,$AK$8+AH24,""),IF(AH24&lt;$AK$10,$AK$8+AH24,ROUND($AK$11*$AK$12^(AH24-$AK$10+1),0))))</f>
        <v>13</v>
      </c>
      <c r="AJ24" s="24" t="n">
        <f aca="false">IF(AI24="","",AI24-AI23)</f>
        <v>1</v>
      </c>
      <c r="AK24" s="13" t="n">
        <f aca="false">IF(AI24="","",SQRT(AI24*2^$AK$4))</f>
        <v>7.21110255092798</v>
      </c>
      <c r="AM24" s="25" t="n">
        <v>10</v>
      </c>
      <c r="AN24" s="25" t="n">
        <f aca="false">$AK$8+AM24-1</f>
        <v>13</v>
      </c>
      <c r="AO24" s="26" t="n">
        <f aca="false">IF(AM24&lt;=$AK$7-1,($AK$9/AN24)^(1/($AK$7-AM24)),"")</f>
        <v>1.07166457967425</v>
      </c>
      <c r="AP24" s="25" t="n">
        <f aca="false">IF(AO24="",0,IF(AN24*(AO24-1)&gt;=1,1,0))</f>
        <v>0</v>
      </c>
    </row>
    <row r="25" customFormat="false" ht="15" hidden="false" customHeight="false" outlineLevel="0" collapsed="false">
      <c r="A25" s="13" t="n">
        <f aca="false">IF(B25="","",$J$11-J25)</f>
        <v>-2</v>
      </c>
      <c r="B25" s="21" t="n">
        <f aca="false">IF(10&lt;$O$13,INDEX($M$15:$M$74,11),IF(10&lt;$O$13+$Z$13,INDEX($X$15:$X$74,10-$O$13+1),IF(10&lt;$O$13+$Z$13+$AK$13,INDEX($AI$15:$AI$74,10-$O$13-$Z$13+1),"")))</f>
        <v>12</v>
      </c>
      <c r="C25" s="22"/>
      <c r="D25" s="22"/>
      <c r="E25" s="22"/>
      <c r="F25" s="22"/>
      <c r="G25" s="22"/>
      <c r="H25" s="22"/>
      <c r="I25" s="23" t="n">
        <f aca="false">IF(B25="",0,SQRT(B25*2^N(A25)))</f>
        <v>1.73205080756888</v>
      </c>
      <c r="J25" s="12" t="n">
        <f aca="false">IF(B25="","",IF(10&lt;$O$13,$O$3,IF(10&lt;$O$13+$Z$13,$Z$3,$AK$3)))</f>
        <v>4</v>
      </c>
      <c r="L25" s="24" t="n">
        <f aca="false">L24+1</f>
        <v>10</v>
      </c>
      <c r="M25" s="24" t="n">
        <f aca="false">IF(L25&gt;=$O$7,"",IF($O$9-$O$8+1&lt;=$O$7,IF($O$8+L25&lt;=$O$9,$O$8+L25,""),IF(L25&lt;$O$10,$O$8+L25,ROUND($O$11*$O$12^(L25-$O$10+1),0))))</f>
        <v>12</v>
      </c>
      <c r="N25" s="24" t="n">
        <f aca="false">IF(M25="","",M25-M24)</f>
        <v>1</v>
      </c>
      <c r="O25" s="13" t="n">
        <f aca="false">IF(M25="","",SQRT(M25*2^$O$4))</f>
        <v>1.73205080756888</v>
      </c>
      <c r="Q25" s="25" t="n">
        <v>11</v>
      </c>
      <c r="R25" s="25" t="n">
        <f aca="false">$O$8+Q25-1</f>
        <v>11</v>
      </c>
      <c r="S25" s="26" t="n">
        <f aca="false">IF(Q25&lt;=$O$7-1,($O$9/R25)^(1/($O$7-Q25)),"")</f>
        <v>1.20604537831105</v>
      </c>
      <c r="T25" s="25" t="n">
        <f aca="false">IF(S25="",0,IF(R25*(S25-1)&gt;=1,1,0))</f>
        <v>1</v>
      </c>
      <c r="W25" s="24" t="n">
        <f aca="false">W24+1</f>
        <v>10</v>
      </c>
      <c r="X25" s="24" t="n">
        <f aca="false">IF(W25&gt;=$Z$7,"",IF($Z$9-$Z$8+1&lt;=$Z$7,IF($Z$8+W25&lt;=$Z$9,$Z$8+W25,""),IF(W25&lt;$Z$10,$Z$8+W25,ROUND($Z$11*$Z$12^(W25-$Z$10+1),0))))</f>
        <v>14</v>
      </c>
      <c r="Y25" s="24" t="n">
        <f aca="false">IF(X25="","",X25-X24)</f>
        <v>1</v>
      </c>
      <c r="Z25" s="13" t="n">
        <f aca="false">IF(X25="","",SQRT(X25*2^$Z$4))</f>
        <v>3.74165738677394</v>
      </c>
      <c r="AB25" s="25" t="n">
        <v>11</v>
      </c>
      <c r="AC25" s="25" t="n">
        <f aca="false">$Z$8+AB25-1</f>
        <v>14</v>
      </c>
      <c r="AD25" s="26" t="n">
        <f aca="false">IF(AB25&lt;=$Z$7-1,($Z$9/AC25)^(1/($Z$7-AB25)),"")</f>
        <v>1.0690449676497</v>
      </c>
      <c r="AE25" s="25" t="n">
        <f aca="false">IF(AD25="",0,IF(AC25*(AD25-1)&gt;=1,1,0))</f>
        <v>0</v>
      </c>
      <c r="AH25" s="24" t="n">
        <f aca="false">AH24+1</f>
        <v>10</v>
      </c>
      <c r="AI25" s="24" t="n">
        <f aca="false">IF(AH25&gt;=$AK$7,"",IF($AK$9-$AK$8+1&lt;=$AK$7,IF($AK$8+AH25&lt;=$AK$9,$AK$8+AH25,""),IF(AH25&lt;$AK$10,$AK$8+AH25,ROUND($AK$11*$AK$12^(AH25-$AK$10+1),0))))</f>
        <v>14</v>
      </c>
      <c r="AJ25" s="24" t="n">
        <f aca="false">IF(AI25="","",AI25-AI24)</f>
        <v>1</v>
      </c>
      <c r="AK25" s="13" t="n">
        <f aca="false">IF(AI25="","",SQRT(AI25*2^$AK$4))</f>
        <v>7.48331477354788</v>
      </c>
      <c r="AM25" s="25" t="n">
        <v>11</v>
      </c>
      <c r="AN25" s="25" t="n">
        <f aca="false">$AK$8+AM25-1</f>
        <v>14</v>
      </c>
      <c r="AO25" s="26" t="n">
        <f aca="false">IF(AM25&lt;=$AK$7-1,($AK$9/AN25)^(1/($AK$7-AM25)),"")</f>
        <v>1.0690449676497</v>
      </c>
      <c r="AP25" s="25" t="n">
        <f aca="false">IF(AO25="",0,IF(AN25*(AO25-1)&gt;=1,1,0))</f>
        <v>0</v>
      </c>
    </row>
    <row r="26" customFormat="false" ht="15" hidden="false" customHeight="false" outlineLevel="0" collapsed="false">
      <c r="A26" s="13" t="n">
        <f aca="false">IF(B26="","",$J$11-J26)</f>
        <v>-2</v>
      </c>
      <c r="B26" s="21" t="n">
        <f aca="false">IF(11&lt;$O$13,INDEX($M$15:$M$74,12),IF(11&lt;$O$13+$Z$13,INDEX($X$15:$X$74,11-$O$13+1),IF(11&lt;$O$13+$Z$13+$AK$13,INDEX($AI$15:$AI$74,11-$O$13-$Z$13+1),"")))</f>
        <v>14</v>
      </c>
      <c r="C26" s="22"/>
      <c r="D26" s="22"/>
      <c r="E26" s="22"/>
      <c r="F26" s="22"/>
      <c r="G26" s="22"/>
      <c r="H26" s="22"/>
      <c r="I26" s="23" t="n">
        <f aca="false">IF(B26="",0,SQRT(B26*2^N(A26)))</f>
        <v>1.87082869338697</v>
      </c>
      <c r="J26" s="12" t="n">
        <f aca="false">IF(B26="","",IF(11&lt;$O$13,$O$3,IF(11&lt;$O$13+$Z$13,$Z$3,$AK$3)))</f>
        <v>4</v>
      </c>
      <c r="L26" s="24" t="n">
        <f aca="false">L25+1</f>
        <v>11</v>
      </c>
      <c r="M26" s="24" t="n">
        <f aca="false">IF(L26&gt;=$O$7,"",IF($O$9-$O$8+1&lt;=$O$7,IF($O$8+L26&lt;=$O$9,$O$8+L26,""),IF(L26&lt;$O$10,$O$8+L26,ROUND($O$11*$O$12^(L26-$O$10+1),0))))</f>
        <v>14</v>
      </c>
      <c r="N26" s="24" t="n">
        <f aca="false">IF(M26="","",M26-M25)</f>
        <v>2</v>
      </c>
      <c r="O26" s="13" t="n">
        <f aca="false">IF(M26="","",SQRT(M26*2^$O$4))</f>
        <v>1.87082869338697</v>
      </c>
      <c r="Q26" s="25" t="n">
        <v>12</v>
      </c>
      <c r="R26" s="25" t="n">
        <f aca="false">$O$8+Q26-1</f>
        <v>12</v>
      </c>
      <c r="S26" s="26" t="n">
        <f aca="false">IF(Q26&lt;=$O$7-1,($O$9/R26)^(1/($O$7-Q26)),"")</f>
        <v>1.33333333333333</v>
      </c>
      <c r="T26" s="25" t="n">
        <f aca="false">IF(S26="",0,IF(R26*(S26-1)&gt;=1,1,0))</f>
        <v>1</v>
      </c>
      <c r="W26" s="24" t="n">
        <f aca="false">W25+1</f>
        <v>11</v>
      </c>
      <c r="X26" s="24" t="n">
        <f aca="false">IF(W26&gt;=$Z$7,"",IF($Z$9-$Z$8+1&lt;=$Z$7,IF($Z$8+W26&lt;=$Z$9,$Z$8+W26,""),IF(W26&lt;$Z$10,$Z$8+W26,ROUND($Z$11*$Z$12^(W26-$Z$10+1),0))))</f>
        <v>15</v>
      </c>
      <c r="Y26" s="24" t="n">
        <f aca="false">IF(X26="","",X26-X25)</f>
        <v>1</v>
      </c>
      <c r="Z26" s="13" t="n">
        <f aca="false">IF(X26="","",SQRT(X26*2^$Z$4))</f>
        <v>3.87298334620742</v>
      </c>
      <c r="AB26" s="25" t="n">
        <v>12</v>
      </c>
      <c r="AC26" s="25" t="n">
        <f aca="false">$Z$8+AB26-1</f>
        <v>15</v>
      </c>
      <c r="AD26" s="26" t="n">
        <f aca="false">IF(AB26&lt;=$Z$7-1,($Z$9/AC26)^(1/($Z$7-AB26)),"")</f>
        <v>1.06666666666667</v>
      </c>
      <c r="AE26" s="25" t="n">
        <f aca="false">IF(AD26="",0,IF(AC26*(AD26-1)&gt;=1,1,0))</f>
        <v>1</v>
      </c>
      <c r="AH26" s="24" t="n">
        <f aca="false">AH25+1</f>
        <v>11</v>
      </c>
      <c r="AI26" s="24" t="n">
        <f aca="false">IF(AH26&gt;=$AK$7,"",IF($AK$9-$AK$8+1&lt;=$AK$7,IF($AK$8+AH26&lt;=$AK$9,$AK$8+AH26,""),IF(AH26&lt;$AK$10,$AK$8+AH26,ROUND($AK$11*$AK$12^(AH26-$AK$10+1),0))))</f>
        <v>15</v>
      </c>
      <c r="AJ26" s="24" t="n">
        <f aca="false">IF(AI26="","",AI26-AI25)</f>
        <v>1</v>
      </c>
      <c r="AK26" s="13" t="n">
        <f aca="false">IF(AI26="","",SQRT(AI26*2^$AK$4))</f>
        <v>7.74596669241483</v>
      </c>
      <c r="AM26" s="25" t="n">
        <v>12</v>
      </c>
      <c r="AN26" s="25" t="n">
        <f aca="false">$AK$8+AM26-1</f>
        <v>15</v>
      </c>
      <c r="AO26" s="26" t="n">
        <f aca="false">IF(AM26&lt;=$AK$7-1,($AK$9/AN26)^(1/($AK$7-AM26)),"")</f>
        <v>1.06666666666667</v>
      </c>
      <c r="AP26" s="25" t="n">
        <f aca="false">IF(AO26="",0,IF(AN26*(AO26-1)&gt;=1,1,0))</f>
        <v>1</v>
      </c>
    </row>
    <row r="27" customFormat="false" ht="15" hidden="false" customHeight="false" outlineLevel="0" collapsed="false">
      <c r="A27" s="13" t="n">
        <f aca="false">IF(B27="","",$J$11-J27)</f>
        <v>-2</v>
      </c>
      <c r="B27" s="21" t="n">
        <f aca="false">IF(12&lt;$O$13,INDEX($M$15:$M$74,13),IF(12&lt;$O$13+$Z$13,INDEX($X$15:$X$74,12-$O$13+1),IF(12&lt;$O$13+$Z$13+$AK$13,INDEX($AI$15:$AI$74,12-$O$13-$Z$13+1),"")))</f>
        <v>16</v>
      </c>
      <c r="C27" s="22"/>
      <c r="D27" s="22"/>
      <c r="E27" s="22"/>
      <c r="F27" s="22"/>
      <c r="G27" s="22"/>
      <c r="H27" s="22"/>
      <c r="I27" s="23" t="n">
        <f aca="false">IF(B27="",0,SQRT(B27*2^N(A27)))</f>
        <v>2</v>
      </c>
      <c r="J27" s="12" t="n">
        <f aca="false">IF(B27="","",IF(12&lt;$O$13,$O$3,IF(12&lt;$O$13+$Z$13,$Z$3,$AK$3)))</f>
        <v>4</v>
      </c>
      <c r="L27" s="24" t="n">
        <f aca="false">L26+1</f>
        <v>12</v>
      </c>
      <c r="M27" s="24" t="n">
        <f aca="false">IF(L27&gt;=$O$7,"",IF($O$9-$O$8+1&lt;=$O$7,IF($O$8+L27&lt;=$O$9,$O$8+L27,""),IF(L27&lt;$O$10,$O$8+L27,ROUND($O$11*$O$12^(L27-$O$10+1),0))))</f>
        <v>16</v>
      </c>
      <c r="N27" s="24" t="n">
        <f aca="false">IF(M27="","",M27-M26)</f>
        <v>2</v>
      </c>
      <c r="O27" s="13" t="n">
        <f aca="false">IF(M27="","",SQRT(M27*2^$O$4))</f>
        <v>2</v>
      </c>
      <c r="Q27" s="25" t="n">
        <v>13</v>
      </c>
      <c r="R27" s="25" t="n">
        <f aca="false">$O$8+Q27-1</f>
        <v>13</v>
      </c>
      <c r="S27" s="26" t="str">
        <f aca="false">IF(Q27&lt;=$O$7-1,($O$9/R27)^(1/($O$7-Q27)),"")</f>
        <v/>
      </c>
      <c r="T27" s="25" t="n">
        <f aca="false">IF(S27="",0,IF(R27*(S27-1)&gt;=1,1,0))</f>
        <v>0</v>
      </c>
      <c r="W27" s="24" t="n">
        <f aca="false">W26+1</f>
        <v>12</v>
      </c>
      <c r="X27" s="24" t="n">
        <f aca="false">IF(W27&gt;=$Z$7,"",IF($Z$9-$Z$8+1&lt;=$Z$7,IF($Z$8+W27&lt;=$Z$9,$Z$8+W27,""),IF(W27&lt;$Z$10,$Z$8+W27,ROUND($Z$11*$Z$12^(W27-$Z$10+1),0))))</f>
        <v>16</v>
      </c>
      <c r="Y27" s="24" t="n">
        <f aca="false">IF(X27="","",X27-X26)</f>
        <v>1</v>
      </c>
      <c r="Z27" s="13" t="n">
        <f aca="false">IF(X27="","",SQRT(X27*2^$Z$4))</f>
        <v>4</v>
      </c>
      <c r="AB27" s="25" t="n">
        <v>13</v>
      </c>
      <c r="AC27" s="25" t="n">
        <f aca="false">$Z$8+AB27-1</f>
        <v>16</v>
      </c>
      <c r="AD27" s="26" t="str">
        <f aca="false">IF(AB27&lt;=$Z$7-1,($Z$9/AC27)^(1/($Z$7-AB27)),"")</f>
        <v/>
      </c>
      <c r="AE27" s="25" t="n">
        <f aca="false">IF(AD27="",0,IF(AC27*(AD27-1)&gt;=1,1,0))</f>
        <v>0</v>
      </c>
      <c r="AH27" s="24" t="n">
        <f aca="false">AH26+1</f>
        <v>12</v>
      </c>
      <c r="AI27" s="24" t="n">
        <f aca="false">IF(AH27&gt;=$AK$7,"",IF($AK$9-$AK$8+1&lt;=$AK$7,IF($AK$8+AH27&lt;=$AK$9,$AK$8+AH27,""),IF(AH27&lt;$AK$10,$AK$8+AH27,ROUND($AK$11*$AK$12^(AH27-$AK$10+1),0))))</f>
        <v>16</v>
      </c>
      <c r="AJ27" s="24" t="n">
        <f aca="false">IF(AI27="","",AI27-AI26)</f>
        <v>1</v>
      </c>
      <c r="AK27" s="13" t="n">
        <f aca="false">IF(AI27="","",SQRT(AI27*2^$AK$4))</f>
        <v>8</v>
      </c>
      <c r="AM27" s="25" t="n">
        <v>13</v>
      </c>
      <c r="AN27" s="25" t="n">
        <f aca="false">$AK$8+AM27-1</f>
        <v>16</v>
      </c>
      <c r="AO27" s="26" t="str">
        <f aca="false">IF(AM27&lt;=$AK$7-1,($AK$9/AN27)^(1/($AK$7-AM27)),"")</f>
        <v/>
      </c>
      <c r="AP27" s="25" t="n">
        <f aca="false">IF(AO27="",0,IF(AN27*(AO27-1)&gt;=1,1,0))</f>
        <v>0</v>
      </c>
    </row>
    <row r="28" customFormat="false" ht="15" hidden="false" customHeight="false" outlineLevel="0" collapsed="false">
      <c r="A28" s="13" t="n">
        <f aca="false">IF(B28="","",$J$11-J28)</f>
        <v>0</v>
      </c>
      <c r="B28" s="21" t="n">
        <f aca="false">IF(13&lt;$O$13,INDEX($M$15:$M$74,14),IF(13&lt;$O$13+$Z$13,INDEX($X$15:$X$74,13-$O$13+1),IF(13&lt;$O$13+$Z$13+$AK$13,INDEX($AI$15:$AI$74,13-$O$13-$Z$13+1),"")))</f>
        <v>4</v>
      </c>
      <c r="C28" s="22"/>
      <c r="D28" s="22"/>
      <c r="E28" s="22"/>
      <c r="F28" s="22"/>
      <c r="G28" s="22"/>
      <c r="H28" s="22"/>
      <c r="I28" s="23" t="n">
        <f aca="false">IF(B28="",0,SQRT(B28*2^N(A28)))</f>
        <v>2</v>
      </c>
      <c r="J28" s="12" t="n">
        <f aca="false">IF(B28="","",IF(13&lt;$O$13,$O$3,IF(13&lt;$O$13+$Z$13,$Z$3,$AK$3)))</f>
        <v>2</v>
      </c>
      <c r="L28" s="24" t="n">
        <f aca="false">L27+1</f>
        <v>13</v>
      </c>
      <c r="M28" s="24" t="str">
        <f aca="false">IF(L28&gt;=$O$7,"",IF($O$9-$O$8+1&lt;=$O$7,IF($O$8+L28&lt;=$O$9,$O$8+L28,""),IF(L28&lt;$O$10,$O$8+L28,ROUND($O$11*$O$12^(L28-$O$10+1),0))))</f>
        <v/>
      </c>
      <c r="N28" s="24" t="str">
        <f aca="false">IF(M28="","",M28-M27)</f>
        <v/>
      </c>
      <c r="O28" s="13" t="str">
        <f aca="false">IF(M28="","",SQRT(M28*2^$O$4))</f>
        <v/>
      </c>
      <c r="Q28" s="25" t="n">
        <v>14</v>
      </c>
      <c r="R28" s="25" t="n">
        <f aca="false">$O$8+Q28-1</f>
        <v>14</v>
      </c>
      <c r="S28" s="26" t="str">
        <f aca="false">IF(Q28&lt;=$O$7-1,($O$9/R28)^(1/($O$7-Q28)),"")</f>
        <v/>
      </c>
      <c r="T28" s="25" t="n">
        <f aca="false">IF(S28="",0,IF(R28*(S28-1)&gt;=1,1,0))</f>
        <v>0</v>
      </c>
      <c r="W28" s="24" t="n">
        <f aca="false">W27+1</f>
        <v>13</v>
      </c>
      <c r="X28" s="24" t="str">
        <f aca="false">IF(W28&gt;=$Z$7,"",IF($Z$9-$Z$8+1&lt;=$Z$7,IF($Z$8+W28&lt;=$Z$9,$Z$8+W28,""),IF(W28&lt;$Z$10,$Z$8+W28,ROUND($Z$11*$Z$12^(W28-$Z$10+1),0))))</f>
        <v/>
      </c>
      <c r="Y28" s="24" t="str">
        <f aca="false">IF(X28="","",X28-X27)</f>
        <v/>
      </c>
      <c r="Z28" s="13" t="str">
        <f aca="false">IF(X28="","",SQRT(X28*2^$Z$4))</f>
        <v/>
      </c>
      <c r="AB28" s="25" t="n">
        <v>14</v>
      </c>
      <c r="AC28" s="25" t="n">
        <f aca="false">$Z$8+AB28-1</f>
        <v>17</v>
      </c>
      <c r="AD28" s="26" t="str">
        <f aca="false">IF(AB28&lt;=$Z$7-1,($Z$9/AC28)^(1/($Z$7-AB28)),"")</f>
        <v/>
      </c>
      <c r="AE28" s="25" t="n">
        <f aca="false">IF(AD28="",0,IF(AC28*(AD28-1)&gt;=1,1,0))</f>
        <v>0</v>
      </c>
      <c r="AH28" s="24" t="n">
        <f aca="false">AH27+1</f>
        <v>13</v>
      </c>
      <c r="AI28" s="24" t="str">
        <f aca="false">IF(AH28&gt;=$AK$7,"",IF($AK$9-$AK$8+1&lt;=$AK$7,IF($AK$8+AH28&lt;=$AK$9,$AK$8+AH28,""),IF(AH28&lt;$AK$10,$AK$8+AH28,ROUND($AK$11*$AK$12^(AH28-$AK$10+1),0))))</f>
        <v/>
      </c>
      <c r="AJ28" s="24" t="str">
        <f aca="false">IF(AI28="","",AI28-AI27)</f>
        <v/>
      </c>
      <c r="AK28" s="13" t="str">
        <f aca="false">IF(AI28="","",SQRT(AI28*2^$AK$4))</f>
        <v/>
      </c>
      <c r="AM28" s="25" t="n">
        <v>14</v>
      </c>
      <c r="AN28" s="25" t="n">
        <f aca="false">$AK$8+AM28-1</f>
        <v>17</v>
      </c>
      <c r="AO28" s="26" t="str">
        <f aca="false">IF(AM28&lt;=$AK$7-1,($AK$9/AN28)^(1/($AK$7-AM28)),"")</f>
        <v/>
      </c>
      <c r="AP28" s="25" t="n">
        <f aca="false">IF(AO28="",0,IF(AN28*(AO28-1)&gt;=1,1,0))</f>
        <v>0</v>
      </c>
    </row>
    <row r="29" customFormat="false" ht="15" hidden="false" customHeight="false" outlineLevel="0" collapsed="false">
      <c r="A29" s="13" t="n">
        <f aca="false">IF(B29="","",$J$11-J29)</f>
        <v>0</v>
      </c>
      <c r="B29" s="21" t="n">
        <f aca="false">IF(14&lt;$O$13,INDEX($M$15:$M$74,15),IF(14&lt;$O$13+$Z$13,INDEX($X$15:$X$74,14-$O$13+1),IF(14&lt;$O$13+$Z$13+$AK$13,INDEX($AI$15:$AI$74,14-$O$13-$Z$13+1),"")))</f>
        <v>5</v>
      </c>
      <c r="C29" s="22"/>
      <c r="D29" s="22"/>
      <c r="E29" s="22"/>
      <c r="F29" s="22"/>
      <c r="G29" s="22"/>
      <c r="H29" s="22"/>
      <c r="I29" s="23" t="n">
        <f aca="false">IF(B29="",0,SQRT(B29*2^N(A29)))</f>
        <v>2.23606797749979</v>
      </c>
      <c r="J29" s="12" t="n">
        <f aca="false">IF(B29="","",IF(14&lt;$O$13,$O$3,IF(14&lt;$O$13+$Z$13,$Z$3,$AK$3)))</f>
        <v>2</v>
      </c>
      <c r="L29" s="24" t="n">
        <f aca="false">L28+1</f>
        <v>14</v>
      </c>
      <c r="M29" s="24" t="str">
        <f aca="false">IF(L29&gt;=$O$7,"",IF($O$9-$O$8+1&lt;=$O$7,IF($O$8+L29&lt;=$O$9,$O$8+L29,""),IF(L29&lt;$O$10,$O$8+L29,ROUND($O$11*$O$12^(L29-$O$10+1),0))))</f>
        <v/>
      </c>
      <c r="N29" s="24" t="str">
        <f aca="false">IF(M29="","",M29-M28)</f>
        <v/>
      </c>
      <c r="O29" s="13" t="str">
        <f aca="false">IF(M29="","",SQRT(M29*2^$O$4))</f>
        <v/>
      </c>
      <c r="Q29" s="25" t="n">
        <v>15</v>
      </c>
      <c r="R29" s="25" t="n">
        <f aca="false">$O$8+Q29-1</f>
        <v>15</v>
      </c>
      <c r="S29" s="26" t="str">
        <f aca="false">IF(Q29&lt;=$O$7-1,($O$9/R29)^(1/($O$7-Q29)),"")</f>
        <v/>
      </c>
      <c r="T29" s="25" t="n">
        <f aca="false">IF(S29="",0,IF(R29*(S29-1)&gt;=1,1,0))</f>
        <v>0</v>
      </c>
      <c r="W29" s="24" t="n">
        <f aca="false">W28+1</f>
        <v>14</v>
      </c>
      <c r="X29" s="24" t="str">
        <f aca="false">IF(W29&gt;=$Z$7,"",IF($Z$9-$Z$8+1&lt;=$Z$7,IF($Z$8+W29&lt;=$Z$9,$Z$8+W29,""),IF(W29&lt;$Z$10,$Z$8+W29,ROUND($Z$11*$Z$12^(W29-$Z$10+1),0))))</f>
        <v/>
      </c>
      <c r="Y29" s="24" t="str">
        <f aca="false">IF(X29="","",X29-X28)</f>
        <v/>
      </c>
      <c r="Z29" s="13" t="str">
        <f aca="false">IF(X29="","",SQRT(X29*2^$Z$4))</f>
        <v/>
      </c>
      <c r="AB29" s="25" t="n">
        <v>15</v>
      </c>
      <c r="AC29" s="25" t="n">
        <f aca="false">$Z$8+AB29-1</f>
        <v>18</v>
      </c>
      <c r="AD29" s="26" t="str">
        <f aca="false">IF(AB29&lt;=$Z$7-1,($Z$9/AC29)^(1/($Z$7-AB29)),"")</f>
        <v/>
      </c>
      <c r="AE29" s="25" t="n">
        <f aca="false">IF(AD29="",0,IF(AC29*(AD29-1)&gt;=1,1,0))</f>
        <v>0</v>
      </c>
      <c r="AH29" s="24" t="n">
        <f aca="false">AH28+1</f>
        <v>14</v>
      </c>
      <c r="AI29" s="24" t="str">
        <f aca="false">IF(AH29&gt;=$AK$7,"",IF($AK$9-$AK$8+1&lt;=$AK$7,IF($AK$8+AH29&lt;=$AK$9,$AK$8+AH29,""),IF(AH29&lt;$AK$10,$AK$8+AH29,ROUND($AK$11*$AK$12^(AH29-$AK$10+1),0))))</f>
        <v/>
      </c>
      <c r="AJ29" s="24" t="str">
        <f aca="false">IF(AI29="","",AI29-AI28)</f>
        <v/>
      </c>
      <c r="AK29" s="13" t="str">
        <f aca="false">IF(AI29="","",SQRT(AI29*2^$AK$4))</f>
        <v/>
      </c>
      <c r="AM29" s="25" t="n">
        <v>15</v>
      </c>
      <c r="AN29" s="25" t="n">
        <f aca="false">$AK$8+AM29-1</f>
        <v>18</v>
      </c>
      <c r="AO29" s="26" t="str">
        <f aca="false">IF(AM29&lt;=$AK$7-1,($AK$9/AN29)^(1/($AK$7-AM29)),"")</f>
        <v/>
      </c>
      <c r="AP29" s="25" t="n">
        <f aca="false">IF(AO29="",0,IF(AN29*(AO29-1)&gt;=1,1,0))</f>
        <v>0</v>
      </c>
    </row>
    <row r="30" customFormat="false" ht="15" hidden="false" customHeight="false" outlineLevel="0" collapsed="false">
      <c r="A30" s="13" t="n">
        <f aca="false">IF(B30="","",$J$11-J30)</f>
        <v>0</v>
      </c>
      <c r="B30" s="21" t="n">
        <f aca="false">IF(15&lt;$O$13,INDEX($M$15:$M$74,16),IF(15&lt;$O$13+$Z$13,INDEX($X$15:$X$74,15-$O$13+1),IF(15&lt;$O$13+$Z$13+$AK$13,INDEX($AI$15:$AI$74,15-$O$13-$Z$13+1),"")))</f>
        <v>6</v>
      </c>
      <c r="C30" s="22"/>
      <c r="D30" s="22"/>
      <c r="E30" s="22"/>
      <c r="F30" s="22"/>
      <c r="G30" s="22"/>
      <c r="H30" s="22"/>
      <c r="I30" s="23" t="n">
        <f aca="false">IF(B30="",0,SQRT(B30*2^N(A30)))</f>
        <v>2.44948974278318</v>
      </c>
      <c r="J30" s="12" t="n">
        <f aca="false">IF(B30="","",IF(15&lt;$O$13,$O$3,IF(15&lt;$O$13+$Z$13,$Z$3,$AK$3)))</f>
        <v>2</v>
      </c>
      <c r="L30" s="24" t="n">
        <f aca="false">L29+1</f>
        <v>15</v>
      </c>
      <c r="M30" s="24" t="str">
        <f aca="false">IF(L30&gt;=$O$7,"",IF($O$9-$O$8+1&lt;=$O$7,IF($O$8+L30&lt;=$O$9,$O$8+L30,""),IF(L30&lt;$O$10,$O$8+L30,ROUND($O$11*$O$12^(L30-$O$10+1),0))))</f>
        <v/>
      </c>
      <c r="N30" s="24" t="str">
        <f aca="false">IF(M30="","",M30-M29)</f>
        <v/>
      </c>
      <c r="O30" s="13" t="str">
        <f aca="false">IF(M30="","",SQRT(M30*2^$O$4))</f>
        <v/>
      </c>
      <c r="Q30" s="25" t="n">
        <v>16</v>
      </c>
      <c r="R30" s="25" t="n">
        <f aca="false">$O$8+Q30-1</f>
        <v>16</v>
      </c>
      <c r="S30" s="26" t="str">
        <f aca="false">IF(Q30&lt;=$O$7-1,($O$9/R30)^(1/($O$7-Q30)),"")</f>
        <v/>
      </c>
      <c r="T30" s="25" t="n">
        <f aca="false">IF(S30="",0,IF(R30*(S30-1)&gt;=1,1,0))</f>
        <v>0</v>
      </c>
      <c r="W30" s="24" t="n">
        <f aca="false">W29+1</f>
        <v>15</v>
      </c>
      <c r="X30" s="24" t="str">
        <f aca="false">IF(W30&gt;=$Z$7,"",IF($Z$9-$Z$8+1&lt;=$Z$7,IF($Z$8+W30&lt;=$Z$9,$Z$8+W30,""),IF(W30&lt;$Z$10,$Z$8+W30,ROUND($Z$11*$Z$12^(W30-$Z$10+1),0))))</f>
        <v/>
      </c>
      <c r="Y30" s="24" t="str">
        <f aca="false">IF(X30="","",X30-X29)</f>
        <v/>
      </c>
      <c r="Z30" s="13" t="str">
        <f aca="false">IF(X30="","",SQRT(X30*2^$Z$4))</f>
        <v/>
      </c>
      <c r="AB30" s="25" t="n">
        <v>16</v>
      </c>
      <c r="AC30" s="25" t="n">
        <f aca="false">$Z$8+AB30-1</f>
        <v>19</v>
      </c>
      <c r="AD30" s="26" t="str">
        <f aca="false">IF(AB30&lt;=$Z$7-1,($Z$9/AC30)^(1/($Z$7-AB30)),"")</f>
        <v/>
      </c>
      <c r="AE30" s="25" t="n">
        <f aca="false">IF(AD30="",0,IF(AC30*(AD30-1)&gt;=1,1,0))</f>
        <v>0</v>
      </c>
      <c r="AH30" s="24" t="n">
        <f aca="false">AH29+1</f>
        <v>15</v>
      </c>
      <c r="AI30" s="24" t="str">
        <f aca="false">IF(AH30&gt;=$AK$7,"",IF($AK$9-$AK$8+1&lt;=$AK$7,IF($AK$8+AH30&lt;=$AK$9,$AK$8+AH30,""),IF(AH30&lt;$AK$10,$AK$8+AH30,ROUND($AK$11*$AK$12^(AH30-$AK$10+1),0))))</f>
        <v/>
      </c>
      <c r="AJ30" s="24" t="str">
        <f aca="false">IF(AI30="","",AI30-AI29)</f>
        <v/>
      </c>
      <c r="AK30" s="13" t="str">
        <f aca="false">IF(AI30="","",SQRT(AI30*2^$AK$4))</f>
        <v/>
      </c>
      <c r="AM30" s="25" t="n">
        <v>16</v>
      </c>
      <c r="AN30" s="25" t="n">
        <f aca="false">$AK$8+AM30-1</f>
        <v>19</v>
      </c>
      <c r="AO30" s="26" t="str">
        <f aca="false">IF(AM30&lt;=$AK$7-1,($AK$9/AN30)^(1/($AK$7-AM30)),"")</f>
        <v/>
      </c>
      <c r="AP30" s="25" t="n">
        <f aca="false">IF(AO30="",0,IF(AN30*(AO30-1)&gt;=1,1,0))</f>
        <v>0</v>
      </c>
    </row>
    <row r="31" customFormat="false" ht="15" hidden="false" customHeight="false" outlineLevel="0" collapsed="false">
      <c r="A31" s="13" t="n">
        <f aca="false">IF(B31="","",$J$11-J31)</f>
        <v>0</v>
      </c>
      <c r="B31" s="21" t="n">
        <f aca="false">IF(16&lt;$O$13,INDEX($M$15:$M$74,17),IF(16&lt;$O$13+$Z$13,INDEX($X$15:$X$74,16-$O$13+1),IF(16&lt;$O$13+$Z$13+$AK$13,INDEX($AI$15:$AI$74,16-$O$13-$Z$13+1),"")))</f>
        <v>7</v>
      </c>
      <c r="C31" s="22"/>
      <c r="D31" s="22"/>
      <c r="E31" s="22"/>
      <c r="F31" s="22"/>
      <c r="G31" s="22"/>
      <c r="H31" s="22"/>
      <c r="I31" s="23" t="n">
        <f aca="false">IF(B31="",0,SQRT(B31*2^N(A31)))</f>
        <v>2.64575131106459</v>
      </c>
      <c r="J31" s="12" t="n">
        <f aca="false">IF(B31="","",IF(16&lt;$O$13,$O$3,IF(16&lt;$O$13+$Z$13,$Z$3,$AK$3)))</f>
        <v>2</v>
      </c>
      <c r="L31" s="24" t="n">
        <f aca="false">L30+1</f>
        <v>16</v>
      </c>
      <c r="M31" s="24" t="str">
        <f aca="false">IF(L31&gt;=$O$7,"",IF($O$9-$O$8+1&lt;=$O$7,IF($O$8+L31&lt;=$O$9,$O$8+L31,""),IF(L31&lt;$O$10,$O$8+L31,ROUND($O$11*$O$12^(L31-$O$10+1),0))))</f>
        <v/>
      </c>
      <c r="N31" s="24" t="str">
        <f aca="false">IF(M31="","",M31-M30)</f>
        <v/>
      </c>
      <c r="O31" s="13" t="str">
        <f aca="false">IF(M31="","",SQRT(M31*2^$O$4))</f>
        <v/>
      </c>
      <c r="Q31" s="25" t="n">
        <v>17</v>
      </c>
      <c r="R31" s="25" t="n">
        <f aca="false">$O$8+Q31-1</f>
        <v>17</v>
      </c>
      <c r="S31" s="26" t="str">
        <f aca="false">IF(Q31&lt;=$O$7-1,($O$9/R31)^(1/($O$7-Q31)),"")</f>
        <v/>
      </c>
      <c r="T31" s="25" t="n">
        <f aca="false">IF(S31="",0,IF(R31*(S31-1)&gt;=1,1,0))</f>
        <v>0</v>
      </c>
      <c r="W31" s="24" t="n">
        <f aca="false">W30+1</f>
        <v>16</v>
      </c>
      <c r="X31" s="24" t="str">
        <f aca="false">IF(W31&gt;=$Z$7,"",IF($Z$9-$Z$8+1&lt;=$Z$7,IF($Z$8+W31&lt;=$Z$9,$Z$8+W31,""),IF(W31&lt;$Z$10,$Z$8+W31,ROUND($Z$11*$Z$12^(W31-$Z$10+1),0))))</f>
        <v/>
      </c>
      <c r="Y31" s="24" t="str">
        <f aca="false">IF(X31="","",X31-X30)</f>
        <v/>
      </c>
      <c r="Z31" s="13" t="str">
        <f aca="false">IF(X31="","",SQRT(X31*2^$Z$4))</f>
        <v/>
      </c>
      <c r="AB31" s="25" t="n">
        <v>17</v>
      </c>
      <c r="AC31" s="25" t="n">
        <f aca="false">$Z$8+AB31-1</f>
        <v>20</v>
      </c>
      <c r="AD31" s="26" t="str">
        <f aca="false">IF(AB31&lt;=$Z$7-1,($Z$9/AC31)^(1/($Z$7-AB31)),"")</f>
        <v/>
      </c>
      <c r="AE31" s="25" t="n">
        <f aca="false">IF(AD31="",0,IF(AC31*(AD31-1)&gt;=1,1,0))</f>
        <v>0</v>
      </c>
      <c r="AH31" s="24" t="n">
        <f aca="false">AH30+1</f>
        <v>16</v>
      </c>
      <c r="AI31" s="24" t="str">
        <f aca="false">IF(AH31&gt;=$AK$7,"",IF($AK$9-$AK$8+1&lt;=$AK$7,IF($AK$8+AH31&lt;=$AK$9,$AK$8+AH31,""),IF(AH31&lt;$AK$10,$AK$8+AH31,ROUND($AK$11*$AK$12^(AH31-$AK$10+1),0))))</f>
        <v/>
      </c>
      <c r="AJ31" s="24" t="str">
        <f aca="false">IF(AI31="","",AI31-AI30)</f>
        <v/>
      </c>
      <c r="AK31" s="13" t="str">
        <f aca="false">IF(AI31="","",SQRT(AI31*2^$AK$4))</f>
        <v/>
      </c>
      <c r="AM31" s="25" t="n">
        <v>17</v>
      </c>
      <c r="AN31" s="25" t="n">
        <f aca="false">$AK$8+AM31-1</f>
        <v>20</v>
      </c>
      <c r="AO31" s="26" t="str">
        <f aca="false">IF(AM31&lt;=$AK$7-1,($AK$9/AN31)^(1/($AK$7-AM31)),"")</f>
        <v/>
      </c>
      <c r="AP31" s="25" t="n">
        <f aca="false">IF(AO31="",0,IF(AN31*(AO31-1)&gt;=1,1,0))</f>
        <v>0</v>
      </c>
    </row>
    <row r="32" customFormat="false" ht="15" hidden="false" customHeight="false" outlineLevel="0" collapsed="false">
      <c r="A32" s="13" t="n">
        <f aca="false">IF(B32="","",$J$11-J32)</f>
        <v>0</v>
      </c>
      <c r="B32" s="21" t="n">
        <f aca="false">IF(17&lt;$O$13,INDEX($M$15:$M$74,18),IF(17&lt;$O$13+$Z$13,INDEX($X$15:$X$74,17-$O$13+1),IF(17&lt;$O$13+$Z$13+$AK$13,INDEX($AI$15:$AI$74,17-$O$13-$Z$13+1),"")))</f>
        <v>8</v>
      </c>
      <c r="C32" s="22"/>
      <c r="D32" s="22"/>
      <c r="E32" s="22"/>
      <c r="F32" s="22"/>
      <c r="G32" s="22"/>
      <c r="H32" s="22"/>
      <c r="I32" s="23" t="n">
        <f aca="false">IF(B32="",0,SQRT(B32*2^N(A32)))</f>
        <v>2.82842712474619</v>
      </c>
      <c r="J32" s="12" t="n">
        <f aca="false">IF(B32="","",IF(17&lt;$O$13,$O$3,IF(17&lt;$O$13+$Z$13,$Z$3,$AK$3)))</f>
        <v>2</v>
      </c>
      <c r="L32" s="24" t="n">
        <f aca="false">L31+1</f>
        <v>17</v>
      </c>
      <c r="M32" s="24" t="str">
        <f aca="false">IF(L32&gt;=$O$7,"",IF($O$9-$O$8+1&lt;=$O$7,IF($O$8+L32&lt;=$O$9,$O$8+L32,""),IF(L32&lt;$O$10,$O$8+L32,ROUND($O$11*$O$12^(L32-$O$10+1),0))))</f>
        <v/>
      </c>
      <c r="N32" s="24" t="str">
        <f aca="false">IF(M32="","",M32-M31)</f>
        <v/>
      </c>
      <c r="O32" s="13" t="str">
        <f aca="false">IF(M32="","",SQRT(M32*2^$O$4))</f>
        <v/>
      </c>
      <c r="Q32" s="25" t="n">
        <v>18</v>
      </c>
      <c r="R32" s="25" t="n">
        <f aca="false">$O$8+Q32-1</f>
        <v>18</v>
      </c>
      <c r="S32" s="26" t="str">
        <f aca="false">IF(Q32&lt;=$O$7-1,($O$9/R32)^(1/($O$7-Q32)),"")</f>
        <v/>
      </c>
      <c r="T32" s="25" t="n">
        <f aca="false">IF(S32="",0,IF(R32*(S32-1)&gt;=1,1,0))</f>
        <v>0</v>
      </c>
      <c r="W32" s="24" t="n">
        <f aca="false">W31+1</f>
        <v>17</v>
      </c>
      <c r="X32" s="24" t="str">
        <f aca="false">IF(W32&gt;=$Z$7,"",IF($Z$9-$Z$8+1&lt;=$Z$7,IF($Z$8+W32&lt;=$Z$9,$Z$8+W32,""),IF(W32&lt;$Z$10,$Z$8+W32,ROUND($Z$11*$Z$12^(W32-$Z$10+1),0))))</f>
        <v/>
      </c>
      <c r="Y32" s="24" t="str">
        <f aca="false">IF(X32="","",X32-X31)</f>
        <v/>
      </c>
      <c r="Z32" s="13" t="str">
        <f aca="false">IF(X32="","",SQRT(X32*2^$Z$4))</f>
        <v/>
      </c>
      <c r="AB32" s="25" t="n">
        <v>18</v>
      </c>
      <c r="AC32" s="25" t="n">
        <f aca="false">$Z$8+AB32-1</f>
        <v>21</v>
      </c>
      <c r="AD32" s="26" t="str">
        <f aca="false">IF(AB32&lt;=$Z$7-1,($Z$9/AC32)^(1/($Z$7-AB32)),"")</f>
        <v/>
      </c>
      <c r="AE32" s="25" t="n">
        <f aca="false">IF(AD32="",0,IF(AC32*(AD32-1)&gt;=1,1,0))</f>
        <v>0</v>
      </c>
      <c r="AH32" s="24" t="n">
        <f aca="false">AH31+1</f>
        <v>17</v>
      </c>
      <c r="AI32" s="24" t="str">
        <f aca="false">IF(AH32&gt;=$AK$7,"",IF($AK$9-$AK$8+1&lt;=$AK$7,IF($AK$8+AH32&lt;=$AK$9,$AK$8+AH32,""),IF(AH32&lt;$AK$10,$AK$8+AH32,ROUND($AK$11*$AK$12^(AH32-$AK$10+1),0))))</f>
        <v/>
      </c>
      <c r="AJ32" s="24" t="str">
        <f aca="false">IF(AI32="","",AI32-AI31)</f>
        <v/>
      </c>
      <c r="AK32" s="13" t="str">
        <f aca="false">IF(AI32="","",SQRT(AI32*2^$AK$4))</f>
        <v/>
      </c>
      <c r="AM32" s="25" t="n">
        <v>18</v>
      </c>
      <c r="AN32" s="25" t="n">
        <f aca="false">$AK$8+AM32-1</f>
        <v>21</v>
      </c>
      <c r="AO32" s="26" t="str">
        <f aca="false">IF(AM32&lt;=$AK$7-1,($AK$9/AN32)^(1/($AK$7-AM32)),"")</f>
        <v/>
      </c>
      <c r="AP32" s="25" t="n">
        <f aca="false">IF(AO32="",0,IF(AN32*(AO32-1)&gt;=1,1,0))</f>
        <v>0</v>
      </c>
    </row>
    <row r="33" customFormat="false" ht="15" hidden="false" customHeight="false" outlineLevel="0" collapsed="false">
      <c r="A33" s="13" t="n">
        <f aca="false">IF(B33="","",$J$11-J33)</f>
        <v>0</v>
      </c>
      <c r="B33" s="21" t="n">
        <f aca="false">IF(18&lt;$O$13,INDEX($M$15:$M$74,19),IF(18&lt;$O$13+$Z$13,INDEX($X$15:$X$74,18-$O$13+1),IF(18&lt;$O$13+$Z$13+$AK$13,INDEX($AI$15:$AI$74,18-$O$13-$Z$13+1),"")))</f>
        <v>9</v>
      </c>
      <c r="C33" s="22"/>
      <c r="D33" s="22"/>
      <c r="E33" s="22"/>
      <c r="F33" s="22"/>
      <c r="G33" s="22"/>
      <c r="H33" s="22"/>
      <c r="I33" s="23" t="n">
        <f aca="false">IF(B33="",0,SQRT(B33*2^N(A33)))</f>
        <v>3</v>
      </c>
      <c r="J33" s="12" t="n">
        <f aca="false">IF(B33="","",IF(18&lt;$O$13,$O$3,IF(18&lt;$O$13+$Z$13,$Z$3,$AK$3)))</f>
        <v>2</v>
      </c>
      <c r="L33" s="24" t="n">
        <f aca="false">L32+1</f>
        <v>18</v>
      </c>
      <c r="M33" s="24" t="str">
        <f aca="false">IF(L33&gt;=$O$7,"",IF($O$9-$O$8+1&lt;=$O$7,IF($O$8+L33&lt;=$O$9,$O$8+L33,""),IF(L33&lt;$O$10,$O$8+L33,ROUND($O$11*$O$12^(L33-$O$10+1),0))))</f>
        <v/>
      </c>
      <c r="N33" s="24" t="str">
        <f aca="false">IF(M33="","",M33-M32)</f>
        <v/>
      </c>
      <c r="O33" s="13" t="str">
        <f aca="false">IF(M33="","",SQRT(M33*2^$O$4))</f>
        <v/>
      </c>
      <c r="Q33" s="25" t="n">
        <v>19</v>
      </c>
      <c r="R33" s="25" t="n">
        <f aca="false">$O$8+Q33-1</f>
        <v>19</v>
      </c>
      <c r="S33" s="26" t="str">
        <f aca="false">IF(Q33&lt;=$O$7-1,($O$9/R33)^(1/($O$7-Q33)),"")</f>
        <v/>
      </c>
      <c r="T33" s="25" t="n">
        <f aca="false">IF(S33="",0,IF(R33*(S33-1)&gt;=1,1,0))</f>
        <v>0</v>
      </c>
      <c r="W33" s="24" t="n">
        <f aca="false">W32+1</f>
        <v>18</v>
      </c>
      <c r="X33" s="24" t="str">
        <f aca="false">IF(W33&gt;=$Z$7,"",IF($Z$9-$Z$8+1&lt;=$Z$7,IF($Z$8+W33&lt;=$Z$9,$Z$8+W33,""),IF(W33&lt;$Z$10,$Z$8+W33,ROUND($Z$11*$Z$12^(W33-$Z$10+1),0))))</f>
        <v/>
      </c>
      <c r="Y33" s="24" t="str">
        <f aca="false">IF(X33="","",X33-X32)</f>
        <v/>
      </c>
      <c r="Z33" s="13" t="str">
        <f aca="false">IF(X33="","",SQRT(X33*2^$Z$4))</f>
        <v/>
      </c>
      <c r="AB33" s="25" t="n">
        <v>19</v>
      </c>
      <c r="AC33" s="25" t="n">
        <f aca="false">$Z$8+AB33-1</f>
        <v>22</v>
      </c>
      <c r="AD33" s="26" t="str">
        <f aca="false">IF(AB33&lt;=$Z$7-1,($Z$9/AC33)^(1/($Z$7-AB33)),"")</f>
        <v/>
      </c>
      <c r="AE33" s="25" t="n">
        <f aca="false">IF(AD33="",0,IF(AC33*(AD33-1)&gt;=1,1,0))</f>
        <v>0</v>
      </c>
      <c r="AH33" s="24" t="n">
        <f aca="false">AH32+1</f>
        <v>18</v>
      </c>
      <c r="AI33" s="24" t="str">
        <f aca="false">IF(AH33&gt;=$AK$7,"",IF($AK$9-$AK$8+1&lt;=$AK$7,IF($AK$8+AH33&lt;=$AK$9,$AK$8+AH33,""),IF(AH33&lt;$AK$10,$AK$8+AH33,ROUND($AK$11*$AK$12^(AH33-$AK$10+1),0))))</f>
        <v/>
      </c>
      <c r="AJ33" s="24" t="str">
        <f aca="false">IF(AI33="","",AI33-AI32)</f>
        <v/>
      </c>
      <c r="AK33" s="13" t="str">
        <f aca="false">IF(AI33="","",SQRT(AI33*2^$AK$4))</f>
        <v/>
      </c>
      <c r="AM33" s="25" t="n">
        <v>19</v>
      </c>
      <c r="AN33" s="25" t="n">
        <f aca="false">$AK$8+AM33-1</f>
        <v>22</v>
      </c>
      <c r="AO33" s="26" t="str">
        <f aca="false">IF(AM33&lt;=$AK$7-1,($AK$9/AN33)^(1/($AK$7-AM33)),"")</f>
        <v/>
      </c>
      <c r="AP33" s="25" t="n">
        <f aca="false">IF(AO33="",0,IF(AN33*(AO33-1)&gt;=1,1,0))</f>
        <v>0</v>
      </c>
    </row>
    <row r="34" customFormat="false" ht="15" hidden="false" customHeight="false" outlineLevel="0" collapsed="false">
      <c r="A34" s="13" t="n">
        <f aca="false">IF(B34="","",$J$11-J34)</f>
        <v>0</v>
      </c>
      <c r="B34" s="21" t="n">
        <f aca="false">IF(19&lt;$O$13,INDEX($M$15:$M$74,20),IF(19&lt;$O$13+$Z$13,INDEX($X$15:$X$74,19-$O$13+1),IF(19&lt;$O$13+$Z$13+$AK$13,INDEX($AI$15:$AI$74,19-$O$13-$Z$13+1),"")))</f>
        <v>10</v>
      </c>
      <c r="C34" s="22"/>
      <c r="D34" s="22"/>
      <c r="E34" s="22"/>
      <c r="F34" s="22"/>
      <c r="G34" s="22"/>
      <c r="H34" s="22"/>
      <c r="I34" s="23" t="n">
        <f aca="false">IF(B34="",0,SQRT(B34*2^N(A34)))</f>
        <v>3.16227766016838</v>
      </c>
      <c r="J34" s="12" t="n">
        <f aca="false">IF(B34="","",IF(19&lt;$O$13,$O$3,IF(19&lt;$O$13+$Z$13,$Z$3,$AK$3)))</f>
        <v>2</v>
      </c>
      <c r="L34" s="24" t="n">
        <f aca="false">L33+1</f>
        <v>19</v>
      </c>
      <c r="M34" s="24" t="str">
        <f aca="false">IF(L34&gt;=$O$7,"",IF($O$9-$O$8+1&lt;=$O$7,IF($O$8+L34&lt;=$O$9,$O$8+L34,""),IF(L34&lt;$O$10,$O$8+L34,ROUND($O$11*$O$12^(L34-$O$10+1),0))))</f>
        <v/>
      </c>
      <c r="N34" s="24" t="str">
        <f aca="false">IF(M34="","",M34-M33)</f>
        <v/>
      </c>
      <c r="O34" s="13" t="str">
        <f aca="false">IF(M34="","",SQRT(M34*2^$O$4))</f>
        <v/>
      </c>
      <c r="Q34" s="25" t="n">
        <v>20</v>
      </c>
      <c r="R34" s="25" t="n">
        <f aca="false">$O$8+Q34-1</f>
        <v>20</v>
      </c>
      <c r="S34" s="26" t="str">
        <f aca="false">IF(Q34&lt;=$O$7-1,($O$9/R34)^(1/($O$7-Q34)),"")</f>
        <v/>
      </c>
      <c r="T34" s="25" t="n">
        <f aca="false">IF(S34="",0,IF(R34*(S34-1)&gt;=1,1,0))</f>
        <v>0</v>
      </c>
      <c r="W34" s="24" t="n">
        <f aca="false">W33+1</f>
        <v>19</v>
      </c>
      <c r="X34" s="24" t="str">
        <f aca="false">IF(W34&gt;=$Z$7,"",IF($Z$9-$Z$8+1&lt;=$Z$7,IF($Z$8+W34&lt;=$Z$9,$Z$8+W34,""),IF(W34&lt;$Z$10,$Z$8+W34,ROUND($Z$11*$Z$12^(W34-$Z$10+1),0))))</f>
        <v/>
      </c>
      <c r="Y34" s="24" t="str">
        <f aca="false">IF(X34="","",X34-X33)</f>
        <v/>
      </c>
      <c r="Z34" s="13" t="str">
        <f aca="false">IF(X34="","",SQRT(X34*2^$Z$4))</f>
        <v/>
      </c>
      <c r="AB34" s="25" t="n">
        <v>20</v>
      </c>
      <c r="AC34" s="25" t="n">
        <f aca="false">$Z$8+AB34-1</f>
        <v>23</v>
      </c>
      <c r="AD34" s="26" t="str">
        <f aca="false">IF(AB34&lt;=$Z$7-1,($Z$9/AC34)^(1/($Z$7-AB34)),"")</f>
        <v/>
      </c>
      <c r="AE34" s="25" t="n">
        <f aca="false">IF(AD34="",0,IF(AC34*(AD34-1)&gt;=1,1,0))</f>
        <v>0</v>
      </c>
      <c r="AH34" s="24" t="n">
        <f aca="false">AH33+1</f>
        <v>19</v>
      </c>
      <c r="AI34" s="24" t="str">
        <f aca="false">IF(AH34&gt;=$AK$7,"",IF($AK$9-$AK$8+1&lt;=$AK$7,IF($AK$8+AH34&lt;=$AK$9,$AK$8+AH34,""),IF(AH34&lt;$AK$10,$AK$8+AH34,ROUND($AK$11*$AK$12^(AH34-$AK$10+1),0))))</f>
        <v/>
      </c>
      <c r="AJ34" s="24" t="str">
        <f aca="false">IF(AI34="","",AI34-AI33)</f>
        <v/>
      </c>
      <c r="AK34" s="13" t="str">
        <f aca="false">IF(AI34="","",SQRT(AI34*2^$AK$4))</f>
        <v/>
      </c>
      <c r="AM34" s="25" t="n">
        <v>20</v>
      </c>
      <c r="AN34" s="25" t="n">
        <f aca="false">$AK$8+AM34-1</f>
        <v>23</v>
      </c>
      <c r="AO34" s="26" t="str">
        <f aca="false">IF(AM34&lt;=$AK$7-1,($AK$9/AN34)^(1/($AK$7-AM34)),"")</f>
        <v/>
      </c>
      <c r="AP34" s="25" t="n">
        <f aca="false">IF(AO34="",0,IF(AN34*(AO34-1)&gt;=1,1,0))</f>
        <v>0</v>
      </c>
    </row>
    <row r="35" customFormat="false" ht="15" hidden="false" customHeight="false" outlineLevel="0" collapsed="false">
      <c r="A35" s="13" t="n">
        <f aca="false">IF(B35="","",$J$11-J35)</f>
        <v>0</v>
      </c>
      <c r="B35" s="21" t="n">
        <f aca="false">IF(20&lt;$O$13,INDEX($M$15:$M$74,21),IF(20&lt;$O$13+$Z$13,INDEX($X$15:$X$74,20-$O$13+1),IF(20&lt;$O$13+$Z$13+$AK$13,INDEX($AI$15:$AI$74,20-$O$13-$Z$13+1),"")))</f>
        <v>11</v>
      </c>
      <c r="C35" s="22"/>
      <c r="D35" s="22"/>
      <c r="E35" s="22"/>
      <c r="F35" s="22"/>
      <c r="G35" s="22"/>
      <c r="H35" s="22"/>
      <c r="I35" s="23" t="n">
        <f aca="false">IF(B35="",0,SQRT(B35*2^N(A35)))</f>
        <v>3.3166247903554</v>
      </c>
      <c r="J35" s="12" t="n">
        <f aca="false">IF(B35="","",IF(20&lt;$O$13,$O$3,IF(20&lt;$O$13+$Z$13,$Z$3,$AK$3)))</f>
        <v>2</v>
      </c>
      <c r="L35" s="24" t="n">
        <f aca="false">L34+1</f>
        <v>20</v>
      </c>
      <c r="M35" s="24" t="str">
        <f aca="false">IF(L35&gt;=$O$7,"",IF($O$9-$O$8+1&lt;=$O$7,IF($O$8+L35&lt;=$O$9,$O$8+L35,""),IF(L35&lt;$O$10,$O$8+L35,ROUND($O$11*$O$12^(L35-$O$10+1),0))))</f>
        <v/>
      </c>
      <c r="N35" s="24" t="str">
        <f aca="false">IF(M35="","",M35-M34)</f>
        <v/>
      </c>
      <c r="O35" s="13" t="str">
        <f aca="false">IF(M35="","",SQRT(M35*2^$O$4))</f>
        <v/>
      </c>
      <c r="Q35" s="25" t="n">
        <v>21</v>
      </c>
      <c r="R35" s="25" t="n">
        <f aca="false">$O$8+Q35-1</f>
        <v>21</v>
      </c>
      <c r="S35" s="26" t="str">
        <f aca="false">IF(Q35&lt;=$O$7-1,($O$9/R35)^(1/($O$7-Q35)),"")</f>
        <v/>
      </c>
      <c r="T35" s="25" t="n">
        <f aca="false">IF(S35="",0,IF(R35*(S35-1)&gt;=1,1,0))</f>
        <v>0</v>
      </c>
      <c r="W35" s="24" t="n">
        <f aca="false">W34+1</f>
        <v>20</v>
      </c>
      <c r="X35" s="24" t="str">
        <f aca="false">IF(W35&gt;=$Z$7,"",IF($Z$9-$Z$8+1&lt;=$Z$7,IF($Z$8+W35&lt;=$Z$9,$Z$8+W35,""),IF(W35&lt;$Z$10,$Z$8+W35,ROUND($Z$11*$Z$12^(W35-$Z$10+1),0))))</f>
        <v/>
      </c>
      <c r="Y35" s="24" t="str">
        <f aca="false">IF(X35="","",X35-X34)</f>
        <v/>
      </c>
      <c r="Z35" s="13" t="str">
        <f aca="false">IF(X35="","",SQRT(X35*2^$Z$4))</f>
        <v/>
      </c>
      <c r="AB35" s="25" t="n">
        <v>21</v>
      </c>
      <c r="AC35" s="25" t="n">
        <f aca="false">$Z$8+AB35-1</f>
        <v>24</v>
      </c>
      <c r="AD35" s="26" t="str">
        <f aca="false">IF(AB35&lt;=$Z$7-1,($Z$9/AC35)^(1/($Z$7-AB35)),"")</f>
        <v/>
      </c>
      <c r="AE35" s="25" t="n">
        <f aca="false">IF(AD35="",0,IF(AC35*(AD35-1)&gt;=1,1,0))</f>
        <v>0</v>
      </c>
      <c r="AH35" s="24" t="n">
        <f aca="false">AH34+1</f>
        <v>20</v>
      </c>
      <c r="AI35" s="24" t="str">
        <f aca="false">IF(AH35&gt;=$AK$7,"",IF($AK$9-$AK$8+1&lt;=$AK$7,IF($AK$8+AH35&lt;=$AK$9,$AK$8+AH35,""),IF(AH35&lt;$AK$10,$AK$8+AH35,ROUND($AK$11*$AK$12^(AH35-$AK$10+1),0))))</f>
        <v/>
      </c>
      <c r="AJ35" s="24" t="str">
        <f aca="false">IF(AI35="","",AI35-AI34)</f>
        <v/>
      </c>
      <c r="AK35" s="13" t="str">
        <f aca="false">IF(AI35="","",SQRT(AI35*2^$AK$4))</f>
        <v/>
      </c>
      <c r="AM35" s="25" t="n">
        <v>21</v>
      </c>
      <c r="AN35" s="25" t="n">
        <f aca="false">$AK$8+AM35-1</f>
        <v>24</v>
      </c>
      <c r="AO35" s="26" t="str">
        <f aca="false">IF(AM35&lt;=$AK$7-1,($AK$9/AN35)^(1/($AK$7-AM35)),"")</f>
        <v/>
      </c>
      <c r="AP35" s="25" t="n">
        <f aca="false">IF(AO35="",0,IF(AN35*(AO35-1)&gt;=1,1,0))</f>
        <v>0</v>
      </c>
    </row>
    <row r="36" customFormat="false" ht="15" hidden="false" customHeight="false" outlineLevel="0" collapsed="false">
      <c r="A36" s="13" t="n">
        <f aca="false">IF(B36="","",$J$11-J36)</f>
        <v>0</v>
      </c>
      <c r="B36" s="21" t="n">
        <f aca="false">IF(21&lt;$O$13,INDEX($M$15:$M$74,22),IF(21&lt;$O$13+$Z$13,INDEX($X$15:$X$74,21-$O$13+1),IF(21&lt;$O$13+$Z$13+$AK$13,INDEX($AI$15:$AI$74,21-$O$13-$Z$13+1),"")))</f>
        <v>12</v>
      </c>
      <c r="C36" s="22"/>
      <c r="D36" s="22"/>
      <c r="E36" s="22"/>
      <c r="F36" s="22"/>
      <c r="G36" s="22"/>
      <c r="H36" s="22"/>
      <c r="I36" s="23" t="n">
        <f aca="false">IF(B36="",0,SQRT(B36*2^N(A36)))</f>
        <v>3.46410161513775</v>
      </c>
      <c r="J36" s="12" t="n">
        <f aca="false">IF(B36="","",IF(21&lt;$O$13,$O$3,IF(21&lt;$O$13+$Z$13,$Z$3,$AK$3)))</f>
        <v>2</v>
      </c>
      <c r="L36" s="24" t="n">
        <f aca="false">L35+1</f>
        <v>21</v>
      </c>
      <c r="M36" s="24" t="str">
        <f aca="false">IF(L36&gt;=$O$7,"",IF($O$9-$O$8+1&lt;=$O$7,IF($O$8+L36&lt;=$O$9,$O$8+L36,""),IF(L36&lt;$O$10,$O$8+L36,ROUND($O$11*$O$12^(L36-$O$10+1),0))))</f>
        <v/>
      </c>
      <c r="N36" s="24" t="str">
        <f aca="false">IF(M36="","",M36-M35)</f>
        <v/>
      </c>
      <c r="O36" s="13" t="str">
        <f aca="false">IF(M36="","",SQRT(M36*2^$O$4))</f>
        <v/>
      </c>
      <c r="Q36" s="25" t="n">
        <v>22</v>
      </c>
      <c r="R36" s="25" t="n">
        <f aca="false">$O$8+Q36-1</f>
        <v>22</v>
      </c>
      <c r="S36" s="26" t="str">
        <f aca="false">IF(Q36&lt;=$O$7-1,($O$9/R36)^(1/($O$7-Q36)),"")</f>
        <v/>
      </c>
      <c r="T36" s="25" t="n">
        <f aca="false">IF(S36="",0,IF(R36*(S36-1)&gt;=1,1,0))</f>
        <v>0</v>
      </c>
      <c r="W36" s="24" t="n">
        <f aca="false">W35+1</f>
        <v>21</v>
      </c>
      <c r="X36" s="24" t="str">
        <f aca="false">IF(W36&gt;=$Z$7,"",IF($Z$9-$Z$8+1&lt;=$Z$7,IF($Z$8+W36&lt;=$Z$9,$Z$8+W36,""),IF(W36&lt;$Z$10,$Z$8+W36,ROUND($Z$11*$Z$12^(W36-$Z$10+1),0))))</f>
        <v/>
      </c>
      <c r="Y36" s="24" t="str">
        <f aca="false">IF(X36="","",X36-X35)</f>
        <v/>
      </c>
      <c r="Z36" s="13" t="str">
        <f aca="false">IF(X36="","",SQRT(X36*2^$Z$4))</f>
        <v/>
      </c>
      <c r="AB36" s="25" t="n">
        <v>22</v>
      </c>
      <c r="AC36" s="25" t="n">
        <f aca="false">$Z$8+AB36-1</f>
        <v>25</v>
      </c>
      <c r="AD36" s="26" t="str">
        <f aca="false">IF(AB36&lt;=$Z$7-1,($Z$9/AC36)^(1/($Z$7-AB36)),"")</f>
        <v/>
      </c>
      <c r="AE36" s="25" t="n">
        <f aca="false">IF(AD36="",0,IF(AC36*(AD36-1)&gt;=1,1,0))</f>
        <v>0</v>
      </c>
      <c r="AH36" s="24" t="n">
        <f aca="false">AH35+1</f>
        <v>21</v>
      </c>
      <c r="AI36" s="24" t="str">
        <f aca="false">IF(AH36&gt;=$AK$7,"",IF($AK$9-$AK$8+1&lt;=$AK$7,IF($AK$8+AH36&lt;=$AK$9,$AK$8+AH36,""),IF(AH36&lt;$AK$10,$AK$8+AH36,ROUND($AK$11*$AK$12^(AH36-$AK$10+1),0))))</f>
        <v/>
      </c>
      <c r="AJ36" s="24" t="str">
        <f aca="false">IF(AI36="","",AI36-AI35)</f>
        <v/>
      </c>
      <c r="AK36" s="13" t="str">
        <f aca="false">IF(AI36="","",SQRT(AI36*2^$AK$4))</f>
        <v/>
      </c>
      <c r="AM36" s="25" t="n">
        <v>22</v>
      </c>
      <c r="AN36" s="25" t="n">
        <f aca="false">$AK$8+AM36-1</f>
        <v>25</v>
      </c>
      <c r="AO36" s="26" t="str">
        <f aca="false">IF(AM36&lt;=$AK$7-1,($AK$9/AN36)^(1/($AK$7-AM36)),"")</f>
        <v/>
      </c>
      <c r="AP36" s="25" t="n">
        <f aca="false">IF(AO36="",0,IF(AN36*(AO36-1)&gt;=1,1,0))</f>
        <v>0</v>
      </c>
    </row>
    <row r="37" customFormat="false" ht="15" hidden="false" customHeight="false" outlineLevel="0" collapsed="false">
      <c r="A37" s="13" t="n">
        <f aca="false">IF(B37="","",$J$11-J37)</f>
        <v>0</v>
      </c>
      <c r="B37" s="21" t="n">
        <f aca="false">IF(22&lt;$O$13,INDEX($M$15:$M$74,23),IF(22&lt;$O$13+$Z$13,INDEX($X$15:$X$74,22-$O$13+1),IF(22&lt;$O$13+$Z$13+$AK$13,INDEX($AI$15:$AI$74,22-$O$13-$Z$13+1),"")))</f>
        <v>13</v>
      </c>
      <c r="C37" s="22"/>
      <c r="D37" s="22"/>
      <c r="E37" s="22"/>
      <c r="F37" s="22"/>
      <c r="G37" s="22"/>
      <c r="H37" s="22"/>
      <c r="I37" s="23" t="n">
        <f aca="false">IF(B37="",0,SQRT(B37*2^N(A37)))</f>
        <v>3.60555127546399</v>
      </c>
      <c r="J37" s="12" t="n">
        <f aca="false">IF(B37="","",IF(22&lt;$O$13,$O$3,IF(22&lt;$O$13+$Z$13,$Z$3,$AK$3)))</f>
        <v>2</v>
      </c>
      <c r="L37" s="24" t="n">
        <f aca="false">L36+1</f>
        <v>22</v>
      </c>
      <c r="M37" s="24" t="str">
        <f aca="false">IF(L37&gt;=$O$7,"",IF($O$9-$O$8+1&lt;=$O$7,IF($O$8+L37&lt;=$O$9,$O$8+L37,""),IF(L37&lt;$O$10,$O$8+L37,ROUND($O$11*$O$12^(L37-$O$10+1),0))))</f>
        <v/>
      </c>
      <c r="N37" s="24" t="str">
        <f aca="false">IF(M37="","",M37-M36)</f>
        <v/>
      </c>
      <c r="O37" s="13" t="str">
        <f aca="false">IF(M37="","",SQRT(M37*2^$O$4))</f>
        <v/>
      </c>
      <c r="Q37" s="25" t="n">
        <v>23</v>
      </c>
      <c r="R37" s="25" t="n">
        <f aca="false">$O$8+Q37-1</f>
        <v>23</v>
      </c>
      <c r="S37" s="26" t="str">
        <f aca="false">IF(Q37&lt;=$O$7-1,($O$9/R37)^(1/($O$7-Q37)),"")</f>
        <v/>
      </c>
      <c r="T37" s="25" t="n">
        <f aca="false">IF(S37="",0,IF(R37*(S37-1)&gt;=1,1,0))</f>
        <v>0</v>
      </c>
      <c r="W37" s="24" t="n">
        <f aca="false">W36+1</f>
        <v>22</v>
      </c>
      <c r="X37" s="24" t="str">
        <f aca="false">IF(W37&gt;=$Z$7,"",IF($Z$9-$Z$8+1&lt;=$Z$7,IF($Z$8+W37&lt;=$Z$9,$Z$8+W37,""),IF(W37&lt;$Z$10,$Z$8+W37,ROUND($Z$11*$Z$12^(W37-$Z$10+1),0))))</f>
        <v/>
      </c>
      <c r="Y37" s="24" t="str">
        <f aca="false">IF(X37="","",X37-X36)</f>
        <v/>
      </c>
      <c r="Z37" s="13" t="str">
        <f aca="false">IF(X37="","",SQRT(X37*2^$Z$4))</f>
        <v/>
      </c>
      <c r="AB37" s="25" t="n">
        <v>23</v>
      </c>
      <c r="AC37" s="25" t="n">
        <f aca="false">$Z$8+AB37-1</f>
        <v>26</v>
      </c>
      <c r="AD37" s="26" t="str">
        <f aca="false">IF(AB37&lt;=$Z$7-1,($Z$9/AC37)^(1/($Z$7-AB37)),"")</f>
        <v/>
      </c>
      <c r="AE37" s="25" t="n">
        <f aca="false">IF(AD37="",0,IF(AC37*(AD37-1)&gt;=1,1,0))</f>
        <v>0</v>
      </c>
      <c r="AH37" s="24" t="n">
        <f aca="false">AH36+1</f>
        <v>22</v>
      </c>
      <c r="AI37" s="24" t="str">
        <f aca="false">IF(AH37&gt;=$AK$7,"",IF($AK$9-$AK$8+1&lt;=$AK$7,IF($AK$8+AH37&lt;=$AK$9,$AK$8+AH37,""),IF(AH37&lt;$AK$10,$AK$8+AH37,ROUND($AK$11*$AK$12^(AH37-$AK$10+1),0))))</f>
        <v/>
      </c>
      <c r="AJ37" s="24" t="str">
        <f aca="false">IF(AI37="","",AI37-AI36)</f>
        <v/>
      </c>
      <c r="AK37" s="13" t="str">
        <f aca="false">IF(AI37="","",SQRT(AI37*2^$AK$4))</f>
        <v/>
      </c>
      <c r="AM37" s="25" t="n">
        <v>23</v>
      </c>
      <c r="AN37" s="25" t="n">
        <f aca="false">$AK$8+AM37-1</f>
        <v>26</v>
      </c>
      <c r="AO37" s="26" t="str">
        <f aca="false">IF(AM37&lt;=$AK$7-1,($AK$9/AN37)^(1/($AK$7-AM37)),"")</f>
        <v/>
      </c>
      <c r="AP37" s="25" t="n">
        <f aca="false">IF(AO37="",0,IF(AN37*(AO37-1)&gt;=1,1,0))</f>
        <v>0</v>
      </c>
    </row>
    <row r="38" customFormat="false" ht="15" hidden="false" customHeight="false" outlineLevel="0" collapsed="false">
      <c r="A38" s="13" t="n">
        <f aca="false">IF(B38="","",$J$11-J38)</f>
        <v>0</v>
      </c>
      <c r="B38" s="21" t="n">
        <f aca="false">IF(23&lt;$O$13,INDEX($M$15:$M$74,24),IF(23&lt;$O$13+$Z$13,INDEX($X$15:$X$74,23-$O$13+1),IF(23&lt;$O$13+$Z$13+$AK$13,INDEX($AI$15:$AI$74,23-$O$13-$Z$13+1),"")))</f>
        <v>14</v>
      </c>
      <c r="C38" s="22"/>
      <c r="D38" s="22"/>
      <c r="E38" s="22"/>
      <c r="F38" s="22"/>
      <c r="G38" s="22"/>
      <c r="H38" s="22"/>
      <c r="I38" s="23" t="n">
        <f aca="false">IF(B38="",0,SQRT(B38*2^N(A38)))</f>
        <v>3.74165738677394</v>
      </c>
      <c r="J38" s="12" t="n">
        <f aca="false">IF(B38="","",IF(23&lt;$O$13,$O$3,IF(23&lt;$O$13+$Z$13,$Z$3,$AK$3)))</f>
        <v>2</v>
      </c>
      <c r="L38" s="24" t="n">
        <f aca="false">L37+1</f>
        <v>23</v>
      </c>
      <c r="M38" s="24" t="str">
        <f aca="false">IF(L38&gt;=$O$7,"",IF($O$9-$O$8+1&lt;=$O$7,IF($O$8+L38&lt;=$O$9,$O$8+L38,""),IF(L38&lt;$O$10,$O$8+L38,ROUND($O$11*$O$12^(L38-$O$10+1),0))))</f>
        <v/>
      </c>
      <c r="N38" s="24" t="str">
        <f aca="false">IF(M38="","",M38-M37)</f>
        <v/>
      </c>
      <c r="O38" s="13" t="str">
        <f aca="false">IF(M38="","",SQRT(M38*2^$O$4))</f>
        <v/>
      </c>
      <c r="Q38" s="25" t="n">
        <v>24</v>
      </c>
      <c r="R38" s="25" t="n">
        <f aca="false">$O$8+Q38-1</f>
        <v>24</v>
      </c>
      <c r="S38" s="26" t="str">
        <f aca="false">IF(Q38&lt;=$O$7-1,($O$9/R38)^(1/($O$7-Q38)),"")</f>
        <v/>
      </c>
      <c r="T38" s="25" t="n">
        <f aca="false">IF(S38="",0,IF(R38*(S38-1)&gt;=1,1,0))</f>
        <v>0</v>
      </c>
      <c r="W38" s="24" t="n">
        <f aca="false">W37+1</f>
        <v>23</v>
      </c>
      <c r="X38" s="24" t="str">
        <f aca="false">IF(W38&gt;=$Z$7,"",IF($Z$9-$Z$8+1&lt;=$Z$7,IF($Z$8+W38&lt;=$Z$9,$Z$8+W38,""),IF(W38&lt;$Z$10,$Z$8+W38,ROUND($Z$11*$Z$12^(W38-$Z$10+1),0))))</f>
        <v/>
      </c>
      <c r="Y38" s="24" t="str">
        <f aca="false">IF(X38="","",X38-X37)</f>
        <v/>
      </c>
      <c r="Z38" s="13" t="str">
        <f aca="false">IF(X38="","",SQRT(X38*2^$Z$4))</f>
        <v/>
      </c>
      <c r="AB38" s="25" t="n">
        <v>24</v>
      </c>
      <c r="AC38" s="25" t="n">
        <f aca="false">$Z$8+AB38-1</f>
        <v>27</v>
      </c>
      <c r="AD38" s="26" t="str">
        <f aca="false">IF(AB38&lt;=$Z$7-1,($Z$9/AC38)^(1/($Z$7-AB38)),"")</f>
        <v/>
      </c>
      <c r="AE38" s="25" t="n">
        <f aca="false">IF(AD38="",0,IF(AC38*(AD38-1)&gt;=1,1,0))</f>
        <v>0</v>
      </c>
      <c r="AH38" s="24" t="n">
        <f aca="false">AH37+1</f>
        <v>23</v>
      </c>
      <c r="AI38" s="24" t="str">
        <f aca="false">IF(AH38&gt;=$AK$7,"",IF($AK$9-$AK$8+1&lt;=$AK$7,IF($AK$8+AH38&lt;=$AK$9,$AK$8+AH38,""),IF(AH38&lt;$AK$10,$AK$8+AH38,ROUND($AK$11*$AK$12^(AH38-$AK$10+1),0))))</f>
        <v/>
      </c>
      <c r="AJ38" s="24" t="str">
        <f aca="false">IF(AI38="","",AI38-AI37)</f>
        <v/>
      </c>
      <c r="AK38" s="13" t="str">
        <f aca="false">IF(AI38="","",SQRT(AI38*2^$AK$4))</f>
        <v/>
      </c>
      <c r="AM38" s="25" t="n">
        <v>24</v>
      </c>
      <c r="AN38" s="25" t="n">
        <f aca="false">$AK$8+AM38-1</f>
        <v>27</v>
      </c>
      <c r="AO38" s="26" t="str">
        <f aca="false">IF(AM38&lt;=$AK$7-1,($AK$9/AN38)^(1/($AK$7-AM38)),"")</f>
        <v/>
      </c>
      <c r="AP38" s="25" t="n">
        <f aca="false">IF(AO38="",0,IF(AN38*(AO38-1)&gt;=1,1,0))</f>
        <v>0</v>
      </c>
    </row>
    <row r="39" customFormat="false" ht="15" hidden="false" customHeight="false" outlineLevel="0" collapsed="false">
      <c r="A39" s="13" t="n">
        <f aca="false">IF(B39="","",$J$11-J39)</f>
        <v>0</v>
      </c>
      <c r="B39" s="21" t="n">
        <f aca="false">IF(24&lt;$O$13,INDEX($M$15:$M$74,25),IF(24&lt;$O$13+$Z$13,INDEX($X$15:$X$74,24-$O$13+1),IF(24&lt;$O$13+$Z$13+$AK$13,INDEX($AI$15:$AI$74,24-$O$13-$Z$13+1),"")))</f>
        <v>15</v>
      </c>
      <c r="C39" s="22"/>
      <c r="D39" s="22"/>
      <c r="E39" s="22"/>
      <c r="F39" s="22"/>
      <c r="G39" s="22"/>
      <c r="H39" s="22"/>
      <c r="I39" s="23" t="n">
        <f aca="false">IF(B39="",0,SQRT(B39*2^N(A39)))</f>
        <v>3.87298334620742</v>
      </c>
      <c r="J39" s="12" t="n">
        <f aca="false">IF(B39="","",IF(24&lt;$O$13,$O$3,IF(24&lt;$O$13+$Z$13,$Z$3,$AK$3)))</f>
        <v>2</v>
      </c>
      <c r="L39" s="24" t="n">
        <f aca="false">L38+1</f>
        <v>24</v>
      </c>
      <c r="M39" s="24" t="str">
        <f aca="false">IF(L39&gt;=$O$7,"",IF($O$9-$O$8+1&lt;=$O$7,IF($O$8+L39&lt;=$O$9,$O$8+L39,""),IF(L39&lt;$O$10,$O$8+L39,ROUND($O$11*$O$12^(L39-$O$10+1),0))))</f>
        <v/>
      </c>
      <c r="N39" s="24" t="str">
        <f aca="false">IF(M39="","",M39-M38)</f>
        <v/>
      </c>
      <c r="O39" s="13" t="str">
        <f aca="false">IF(M39="","",SQRT(M39*2^$O$4))</f>
        <v/>
      </c>
      <c r="Q39" s="25" t="n">
        <v>25</v>
      </c>
      <c r="R39" s="25" t="n">
        <f aca="false">$O$8+Q39-1</f>
        <v>25</v>
      </c>
      <c r="S39" s="26" t="str">
        <f aca="false">IF(Q39&lt;=$O$7-1,($O$9/R39)^(1/($O$7-Q39)),"")</f>
        <v/>
      </c>
      <c r="T39" s="25" t="n">
        <f aca="false">IF(S39="",0,IF(R39*(S39-1)&gt;=1,1,0))</f>
        <v>0</v>
      </c>
      <c r="W39" s="24" t="n">
        <f aca="false">W38+1</f>
        <v>24</v>
      </c>
      <c r="X39" s="24" t="str">
        <f aca="false">IF(W39&gt;=$Z$7,"",IF($Z$9-$Z$8+1&lt;=$Z$7,IF($Z$8+W39&lt;=$Z$9,$Z$8+W39,""),IF(W39&lt;$Z$10,$Z$8+W39,ROUND($Z$11*$Z$12^(W39-$Z$10+1),0))))</f>
        <v/>
      </c>
      <c r="Y39" s="24" t="str">
        <f aca="false">IF(X39="","",X39-X38)</f>
        <v/>
      </c>
      <c r="Z39" s="13" t="str">
        <f aca="false">IF(X39="","",SQRT(X39*2^$Z$4))</f>
        <v/>
      </c>
      <c r="AB39" s="25" t="n">
        <v>25</v>
      </c>
      <c r="AC39" s="25" t="n">
        <f aca="false">$Z$8+AB39-1</f>
        <v>28</v>
      </c>
      <c r="AD39" s="26" t="str">
        <f aca="false">IF(AB39&lt;=$Z$7-1,($Z$9/AC39)^(1/($Z$7-AB39)),"")</f>
        <v/>
      </c>
      <c r="AE39" s="25" t="n">
        <f aca="false">IF(AD39="",0,IF(AC39*(AD39-1)&gt;=1,1,0))</f>
        <v>0</v>
      </c>
      <c r="AH39" s="24" t="n">
        <f aca="false">AH38+1</f>
        <v>24</v>
      </c>
      <c r="AI39" s="24" t="str">
        <f aca="false">IF(AH39&gt;=$AK$7,"",IF($AK$9-$AK$8+1&lt;=$AK$7,IF($AK$8+AH39&lt;=$AK$9,$AK$8+AH39,""),IF(AH39&lt;$AK$10,$AK$8+AH39,ROUND($AK$11*$AK$12^(AH39-$AK$10+1),0))))</f>
        <v/>
      </c>
      <c r="AJ39" s="24" t="str">
        <f aca="false">IF(AI39="","",AI39-AI38)</f>
        <v/>
      </c>
      <c r="AK39" s="13" t="str">
        <f aca="false">IF(AI39="","",SQRT(AI39*2^$AK$4))</f>
        <v/>
      </c>
      <c r="AM39" s="25" t="n">
        <v>25</v>
      </c>
      <c r="AN39" s="25" t="n">
        <f aca="false">$AK$8+AM39-1</f>
        <v>28</v>
      </c>
      <c r="AO39" s="26" t="str">
        <f aca="false">IF(AM39&lt;=$AK$7-1,($AK$9/AN39)^(1/($AK$7-AM39)),"")</f>
        <v/>
      </c>
      <c r="AP39" s="25" t="n">
        <f aca="false">IF(AO39="",0,IF(AN39*(AO39-1)&gt;=1,1,0))</f>
        <v>0</v>
      </c>
    </row>
    <row r="40" customFormat="false" ht="15" hidden="false" customHeight="false" outlineLevel="0" collapsed="false">
      <c r="A40" s="13" t="n">
        <f aca="false">IF(B40="","",$J$11-J40)</f>
        <v>0</v>
      </c>
      <c r="B40" s="21" t="n">
        <f aca="false">IF(25&lt;$O$13,INDEX($M$15:$M$74,26),IF(25&lt;$O$13+$Z$13,INDEX($X$15:$X$74,25-$O$13+1),IF(25&lt;$O$13+$Z$13+$AK$13,INDEX($AI$15:$AI$74,25-$O$13-$Z$13+1),"")))</f>
        <v>16</v>
      </c>
      <c r="C40" s="22"/>
      <c r="D40" s="22"/>
      <c r="E40" s="22"/>
      <c r="F40" s="22"/>
      <c r="G40" s="22"/>
      <c r="H40" s="22"/>
      <c r="I40" s="23" t="n">
        <f aca="false">IF(B40="",0,SQRT(B40*2^N(A40)))</f>
        <v>4</v>
      </c>
      <c r="J40" s="12" t="n">
        <f aca="false">IF(B40="","",IF(25&lt;$O$13,$O$3,IF(25&lt;$O$13+$Z$13,$Z$3,$AK$3)))</f>
        <v>2</v>
      </c>
      <c r="L40" s="24" t="n">
        <f aca="false">L39+1</f>
        <v>25</v>
      </c>
      <c r="M40" s="24" t="str">
        <f aca="false">IF(L40&gt;=$O$7,"",IF($O$9-$O$8+1&lt;=$O$7,IF($O$8+L40&lt;=$O$9,$O$8+L40,""),IF(L40&lt;$O$10,$O$8+L40,ROUND($O$11*$O$12^(L40-$O$10+1),0))))</f>
        <v/>
      </c>
      <c r="N40" s="24" t="str">
        <f aca="false">IF(M40="","",M40-M39)</f>
        <v/>
      </c>
      <c r="O40" s="13" t="str">
        <f aca="false">IF(M40="","",SQRT(M40*2^$O$4))</f>
        <v/>
      </c>
      <c r="Q40" s="25" t="n">
        <v>26</v>
      </c>
      <c r="R40" s="25" t="n">
        <f aca="false">$O$8+Q40-1</f>
        <v>26</v>
      </c>
      <c r="S40" s="26" t="str">
        <f aca="false">IF(Q40&lt;=$O$7-1,($O$9/R40)^(1/($O$7-Q40)),"")</f>
        <v/>
      </c>
      <c r="T40" s="25" t="n">
        <f aca="false">IF(S40="",0,IF(R40*(S40-1)&gt;=1,1,0))</f>
        <v>0</v>
      </c>
      <c r="W40" s="24" t="n">
        <f aca="false">W39+1</f>
        <v>25</v>
      </c>
      <c r="X40" s="24" t="str">
        <f aca="false">IF(W40&gt;=$Z$7,"",IF($Z$9-$Z$8+1&lt;=$Z$7,IF($Z$8+W40&lt;=$Z$9,$Z$8+W40,""),IF(W40&lt;$Z$10,$Z$8+W40,ROUND($Z$11*$Z$12^(W40-$Z$10+1),0))))</f>
        <v/>
      </c>
      <c r="Y40" s="24" t="str">
        <f aca="false">IF(X40="","",X40-X39)</f>
        <v/>
      </c>
      <c r="Z40" s="13" t="str">
        <f aca="false">IF(X40="","",SQRT(X40*2^$Z$4))</f>
        <v/>
      </c>
      <c r="AB40" s="25" t="n">
        <v>26</v>
      </c>
      <c r="AC40" s="25" t="n">
        <f aca="false">$Z$8+AB40-1</f>
        <v>29</v>
      </c>
      <c r="AD40" s="26" t="str">
        <f aca="false">IF(AB40&lt;=$Z$7-1,($Z$9/AC40)^(1/($Z$7-AB40)),"")</f>
        <v/>
      </c>
      <c r="AE40" s="25" t="n">
        <f aca="false">IF(AD40="",0,IF(AC40*(AD40-1)&gt;=1,1,0))</f>
        <v>0</v>
      </c>
      <c r="AH40" s="24" t="n">
        <f aca="false">AH39+1</f>
        <v>25</v>
      </c>
      <c r="AI40" s="24" t="str">
        <f aca="false">IF(AH40&gt;=$AK$7,"",IF($AK$9-$AK$8+1&lt;=$AK$7,IF($AK$8+AH40&lt;=$AK$9,$AK$8+AH40,""),IF(AH40&lt;$AK$10,$AK$8+AH40,ROUND($AK$11*$AK$12^(AH40-$AK$10+1),0))))</f>
        <v/>
      </c>
      <c r="AJ40" s="24" t="str">
        <f aca="false">IF(AI40="","",AI40-AI39)</f>
        <v/>
      </c>
      <c r="AK40" s="13" t="str">
        <f aca="false">IF(AI40="","",SQRT(AI40*2^$AK$4))</f>
        <v/>
      </c>
      <c r="AM40" s="25" t="n">
        <v>26</v>
      </c>
      <c r="AN40" s="25" t="n">
        <f aca="false">$AK$8+AM40-1</f>
        <v>29</v>
      </c>
      <c r="AO40" s="26" t="str">
        <f aca="false">IF(AM40&lt;=$AK$7-1,($AK$9/AN40)^(1/($AK$7-AM40)),"")</f>
        <v/>
      </c>
      <c r="AP40" s="25" t="n">
        <f aca="false">IF(AO40="",0,IF(AN40*(AO40-1)&gt;=1,1,0))</f>
        <v>0</v>
      </c>
    </row>
    <row r="41" customFormat="false" ht="15" hidden="false" customHeight="false" outlineLevel="0" collapsed="false">
      <c r="A41" s="13" t="n">
        <f aca="false">IF(B41="","",$J$11-J41)</f>
        <v>2</v>
      </c>
      <c r="B41" s="21" t="n">
        <f aca="false">IF(26&lt;$O$13,INDEX($M$15:$M$74,27),IF(26&lt;$O$13+$Z$13,INDEX($X$15:$X$74,26-$O$13+1),IF(26&lt;$O$13+$Z$13+$AK$13,INDEX($AI$15:$AI$74,26-$O$13-$Z$13+1),"")))</f>
        <v>4</v>
      </c>
      <c r="C41" s="22"/>
      <c r="D41" s="22"/>
      <c r="E41" s="22"/>
      <c r="F41" s="22"/>
      <c r="G41" s="22"/>
      <c r="H41" s="22"/>
      <c r="I41" s="23" t="n">
        <f aca="false">IF(B41="",0,SQRT(B41*2^N(A41)))</f>
        <v>4</v>
      </c>
      <c r="J41" s="12" t="n">
        <f aca="false">IF(B41="","",IF(26&lt;$O$13,$O$3,IF(26&lt;$O$13+$Z$13,$Z$3,$AK$3)))</f>
        <v>0</v>
      </c>
      <c r="L41" s="24" t="n">
        <f aca="false">L40+1</f>
        <v>26</v>
      </c>
      <c r="M41" s="24" t="str">
        <f aca="false">IF(L41&gt;=$O$7,"",IF($O$9-$O$8+1&lt;=$O$7,IF($O$8+L41&lt;=$O$9,$O$8+L41,""),IF(L41&lt;$O$10,$O$8+L41,ROUND($O$11*$O$12^(L41-$O$10+1),0))))</f>
        <v/>
      </c>
      <c r="N41" s="24" t="str">
        <f aca="false">IF(M41="","",M41-M40)</f>
        <v/>
      </c>
      <c r="O41" s="13" t="str">
        <f aca="false">IF(M41="","",SQRT(M41*2^$O$4))</f>
        <v/>
      </c>
      <c r="Q41" s="25" t="n">
        <v>27</v>
      </c>
      <c r="R41" s="25" t="n">
        <f aca="false">$O$8+Q41-1</f>
        <v>27</v>
      </c>
      <c r="S41" s="26" t="str">
        <f aca="false">IF(Q41&lt;=$O$7-1,($O$9/R41)^(1/($O$7-Q41)),"")</f>
        <v/>
      </c>
      <c r="T41" s="25" t="n">
        <f aca="false">IF(S41="",0,IF(R41*(S41-1)&gt;=1,1,0))</f>
        <v>0</v>
      </c>
      <c r="W41" s="24" t="n">
        <f aca="false">W40+1</f>
        <v>26</v>
      </c>
      <c r="X41" s="24" t="str">
        <f aca="false">IF(W41&gt;=$Z$7,"",IF($Z$9-$Z$8+1&lt;=$Z$7,IF($Z$8+W41&lt;=$Z$9,$Z$8+W41,""),IF(W41&lt;$Z$10,$Z$8+W41,ROUND($Z$11*$Z$12^(W41-$Z$10+1),0))))</f>
        <v/>
      </c>
      <c r="Y41" s="24" t="str">
        <f aca="false">IF(X41="","",X41-X40)</f>
        <v/>
      </c>
      <c r="Z41" s="13" t="str">
        <f aca="false">IF(X41="","",SQRT(X41*2^$Z$4))</f>
        <v/>
      </c>
      <c r="AB41" s="25" t="n">
        <v>27</v>
      </c>
      <c r="AC41" s="25" t="n">
        <f aca="false">$Z$8+AB41-1</f>
        <v>30</v>
      </c>
      <c r="AD41" s="26" t="str">
        <f aca="false">IF(AB41&lt;=$Z$7-1,($Z$9/AC41)^(1/($Z$7-AB41)),"")</f>
        <v/>
      </c>
      <c r="AE41" s="25" t="n">
        <f aca="false">IF(AD41="",0,IF(AC41*(AD41-1)&gt;=1,1,0))</f>
        <v>0</v>
      </c>
      <c r="AH41" s="24" t="n">
        <f aca="false">AH40+1</f>
        <v>26</v>
      </c>
      <c r="AI41" s="24" t="str">
        <f aca="false">IF(AH41&gt;=$AK$7,"",IF($AK$9-$AK$8+1&lt;=$AK$7,IF($AK$8+AH41&lt;=$AK$9,$AK$8+AH41,""),IF(AH41&lt;$AK$10,$AK$8+AH41,ROUND($AK$11*$AK$12^(AH41-$AK$10+1),0))))</f>
        <v/>
      </c>
      <c r="AJ41" s="24" t="str">
        <f aca="false">IF(AI41="","",AI41-AI40)</f>
        <v/>
      </c>
      <c r="AK41" s="13" t="str">
        <f aca="false">IF(AI41="","",SQRT(AI41*2^$AK$4))</f>
        <v/>
      </c>
      <c r="AM41" s="25" t="n">
        <v>27</v>
      </c>
      <c r="AN41" s="25" t="n">
        <f aca="false">$AK$8+AM41-1</f>
        <v>30</v>
      </c>
      <c r="AO41" s="26" t="str">
        <f aca="false">IF(AM41&lt;=$AK$7-1,($AK$9/AN41)^(1/($AK$7-AM41)),"")</f>
        <v/>
      </c>
      <c r="AP41" s="25" t="n">
        <f aca="false">IF(AO41="",0,IF(AN41*(AO41-1)&gt;=1,1,0))</f>
        <v>0</v>
      </c>
    </row>
    <row r="42" customFormat="false" ht="15" hidden="false" customHeight="false" outlineLevel="0" collapsed="false">
      <c r="A42" s="13" t="n">
        <f aca="false">IF(B42="","",$J$11-J42)</f>
        <v>2</v>
      </c>
      <c r="B42" s="21" t="n">
        <f aca="false">IF(27&lt;$O$13,INDEX($M$15:$M$74,28),IF(27&lt;$O$13+$Z$13,INDEX($X$15:$X$74,27-$O$13+1),IF(27&lt;$O$13+$Z$13+$AK$13,INDEX($AI$15:$AI$74,27-$O$13-$Z$13+1),"")))</f>
        <v>5</v>
      </c>
      <c r="C42" s="22"/>
      <c r="D42" s="22"/>
      <c r="E42" s="22"/>
      <c r="F42" s="22"/>
      <c r="G42" s="22"/>
      <c r="H42" s="22"/>
      <c r="I42" s="23" t="n">
        <f aca="false">IF(B42="",0,SQRT(B42*2^N(A42)))</f>
        <v>4.47213595499958</v>
      </c>
      <c r="J42" s="12" t="n">
        <f aca="false">IF(B42="","",IF(27&lt;$O$13,$O$3,IF(27&lt;$O$13+$Z$13,$Z$3,$AK$3)))</f>
        <v>0</v>
      </c>
      <c r="L42" s="24" t="n">
        <f aca="false">L41+1</f>
        <v>27</v>
      </c>
      <c r="M42" s="24" t="str">
        <f aca="false">IF(L42&gt;=$O$7,"",IF($O$9-$O$8+1&lt;=$O$7,IF($O$8+L42&lt;=$O$9,$O$8+L42,""),IF(L42&lt;$O$10,$O$8+L42,ROUND($O$11*$O$12^(L42-$O$10+1),0))))</f>
        <v/>
      </c>
      <c r="N42" s="24" t="str">
        <f aca="false">IF(M42="","",M42-M41)</f>
        <v/>
      </c>
      <c r="O42" s="13" t="str">
        <f aca="false">IF(M42="","",SQRT(M42*2^$O$4))</f>
        <v/>
      </c>
      <c r="Q42" s="25" t="n">
        <v>28</v>
      </c>
      <c r="R42" s="25" t="n">
        <f aca="false">$O$8+Q42-1</f>
        <v>28</v>
      </c>
      <c r="S42" s="26" t="str">
        <f aca="false">IF(Q42&lt;=$O$7-1,($O$9/R42)^(1/($O$7-Q42)),"")</f>
        <v/>
      </c>
      <c r="T42" s="25" t="n">
        <f aca="false">IF(S42="",0,IF(R42*(S42-1)&gt;=1,1,0))</f>
        <v>0</v>
      </c>
      <c r="W42" s="24" t="n">
        <f aca="false">W41+1</f>
        <v>27</v>
      </c>
      <c r="X42" s="24" t="str">
        <f aca="false">IF(W42&gt;=$Z$7,"",IF($Z$9-$Z$8+1&lt;=$Z$7,IF($Z$8+W42&lt;=$Z$9,$Z$8+W42,""),IF(W42&lt;$Z$10,$Z$8+W42,ROUND($Z$11*$Z$12^(W42-$Z$10+1),0))))</f>
        <v/>
      </c>
      <c r="Y42" s="24" t="str">
        <f aca="false">IF(X42="","",X42-X41)</f>
        <v/>
      </c>
      <c r="Z42" s="13" t="str">
        <f aca="false">IF(X42="","",SQRT(X42*2^$Z$4))</f>
        <v/>
      </c>
      <c r="AB42" s="25" t="n">
        <v>28</v>
      </c>
      <c r="AC42" s="25" t="n">
        <f aca="false">$Z$8+AB42-1</f>
        <v>31</v>
      </c>
      <c r="AD42" s="26" t="str">
        <f aca="false">IF(AB42&lt;=$Z$7-1,($Z$9/AC42)^(1/($Z$7-AB42)),"")</f>
        <v/>
      </c>
      <c r="AE42" s="25" t="n">
        <f aca="false">IF(AD42="",0,IF(AC42*(AD42-1)&gt;=1,1,0))</f>
        <v>0</v>
      </c>
      <c r="AH42" s="24" t="n">
        <f aca="false">AH41+1</f>
        <v>27</v>
      </c>
      <c r="AI42" s="24" t="str">
        <f aca="false">IF(AH42&gt;=$AK$7,"",IF($AK$9-$AK$8+1&lt;=$AK$7,IF($AK$8+AH42&lt;=$AK$9,$AK$8+AH42,""),IF(AH42&lt;$AK$10,$AK$8+AH42,ROUND($AK$11*$AK$12^(AH42-$AK$10+1),0))))</f>
        <v/>
      </c>
      <c r="AJ42" s="24" t="str">
        <f aca="false">IF(AI42="","",AI42-AI41)</f>
        <v/>
      </c>
      <c r="AK42" s="13" t="str">
        <f aca="false">IF(AI42="","",SQRT(AI42*2^$AK$4))</f>
        <v/>
      </c>
      <c r="AM42" s="25" t="n">
        <v>28</v>
      </c>
      <c r="AN42" s="25" t="n">
        <f aca="false">$AK$8+AM42-1</f>
        <v>31</v>
      </c>
      <c r="AO42" s="26" t="str">
        <f aca="false">IF(AM42&lt;=$AK$7-1,($AK$9/AN42)^(1/($AK$7-AM42)),"")</f>
        <v/>
      </c>
      <c r="AP42" s="25" t="n">
        <f aca="false">IF(AO42="",0,IF(AN42*(AO42-1)&gt;=1,1,0))</f>
        <v>0</v>
      </c>
    </row>
    <row r="43" customFormat="false" ht="15" hidden="false" customHeight="false" outlineLevel="0" collapsed="false">
      <c r="A43" s="13" t="n">
        <f aca="false">IF(B43="","",$J$11-J43)</f>
        <v>2</v>
      </c>
      <c r="B43" s="21" t="n">
        <f aca="false">IF(28&lt;$O$13,INDEX($M$15:$M$74,29),IF(28&lt;$O$13+$Z$13,INDEX($X$15:$X$74,28-$O$13+1),IF(28&lt;$O$13+$Z$13+$AK$13,INDEX($AI$15:$AI$74,28-$O$13-$Z$13+1),"")))</f>
        <v>6</v>
      </c>
      <c r="C43" s="22"/>
      <c r="D43" s="22"/>
      <c r="E43" s="22"/>
      <c r="F43" s="22"/>
      <c r="G43" s="22"/>
      <c r="H43" s="22"/>
      <c r="I43" s="23" t="n">
        <f aca="false">IF(B43="",0,SQRT(B43*2^N(A43)))</f>
        <v>4.89897948556636</v>
      </c>
      <c r="J43" s="12" t="n">
        <f aca="false">IF(B43="","",IF(28&lt;$O$13,$O$3,IF(28&lt;$O$13+$Z$13,$Z$3,$AK$3)))</f>
        <v>0</v>
      </c>
      <c r="L43" s="24" t="n">
        <f aca="false">L42+1</f>
        <v>28</v>
      </c>
      <c r="M43" s="24" t="str">
        <f aca="false">IF(L43&gt;=$O$7,"",IF($O$9-$O$8+1&lt;=$O$7,IF($O$8+L43&lt;=$O$9,$O$8+L43,""),IF(L43&lt;$O$10,$O$8+L43,ROUND($O$11*$O$12^(L43-$O$10+1),0))))</f>
        <v/>
      </c>
      <c r="N43" s="24" t="str">
        <f aca="false">IF(M43="","",M43-M42)</f>
        <v/>
      </c>
      <c r="O43" s="13" t="str">
        <f aca="false">IF(M43="","",SQRT(M43*2^$O$4))</f>
        <v/>
      </c>
      <c r="Q43" s="25" t="n">
        <v>29</v>
      </c>
      <c r="R43" s="25" t="n">
        <f aca="false">$O$8+Q43-1</f>
        <v>29</v>
      </c>
      <c r="S43" s="26" t="str">
        <f aca="false">IF(Q43&lt;=$O$7-1,($O$9/R43)^(1/($O$7-Q43)),"")</f>
        <v/>
      </c>
      <c r="T43" s="25" t="n">
        <f aca="false">IF(S43="",0,IF(R43*(S43-1)&gt;=1,1,0))</f>
        <v>0</v>
      </c>
      <c r="W43" s="24" t="n">
        <f aca="false">W42+1</f>
        <v>28</v>
      </c>
      <c r="X43" s="24" t="str">
        <f aca="false">IF(W43&gt;=$Z$7,"",IF($Z$9-$Z$8+1&lt;=$Z$7,IF($Z$8+W43&lt;=$Z$9,$Z$8+W43,""),IF(W43&lt;$Z$10,$Z$8+W43,ROUND($Z$11*$Z$12^(W43-$Z$10+1),0))))</f>
        <v/>
      </c>
      <c r="Y43" s="24" t="str">
        <f aca="false">IF(X43="","",X43-X42)</f>
        <v/>
      </c>
      <c r="Z43" s="13" t="str">
        <f aca="false">IF(X43="","",SQRT(X43*2^$Z$4))</f>
        <v/>
      </c>
      <c r="AB43" s="25" t="n">
        <v>29</v>
      </c>
      <c r="AC43" s="25" t="n">
        <f aca="false">$Z$8+AB43-1</f>
        <v>32</v>
      </c>
      <c r="AD43" s="26" t="str">
        <f aca="false">IF(AB43&lt;=$Z$7-1,($Z$9/AC43)^(1/($Z$7-AB43)),"")</f>
        <v/>
      </c>
      <c r="AE43" s="25" t="n">
        <f aca="false">IF(AD43="",0,IF(AC43*(AD43-1)&gt;=1,1,0))</f>
        <v>0</v>
      </c>
      <c r="AH43" s="24" t="n">
        <f aca="false">AH42+1</f>
        <v>28</v>
      </c>
      <c r="AI43" s="24" t="str">
        <f aca="false">IF(AH43&gt;=$AK$7,"",IF($AK$9-$AK$8+1&lt;=$AK$7,IF($AK$8+AH43&lt;=$AK$9,$AK$8+AH43,""),IF(AH43&lt;$AK$10,$AK$8+AH43,ROUND($AK$11*$AK$12^(AH43-$AK$10+1),0))))</f>
        <v/>
      </c>
      <c r="AJ43" s="24" t="str">
        <f aca="false">IF(AI43="","",AI43-AI42)</f>
        <v/>
      </c>
      <c r="AK43" s="13" t="str">
        <f aca="false">IF(AI43="","",SQRT(AI43*2^$AK$4))</f>
        <v/>
      </c>
      <c r="AM43" s="25" t="n">
        <v>29</v>
      </c>
      <c r="AN43" s="25" t="n">
        <f aca="false">$AK$8+AM43-1</f>
        <v>32</v>
      </c>
      <c r="AO43" s="26" t="str">
        <f aca="false">IF(AM43&lt;=$AK$7-1,($AK$9/AN43)^(1/($AK$7-AM43)),"")</f>
        <v/>
      </c>
      <c r="AP43" s="25" t="n">
        <f aca="false">IF(AO43="",0,IF(AN43*(AO43-1)&gt;=1,1,0))</f>
        <v>0</v>
      </c>
    </row>
    <row r="44" customFormat="false" ht="15" hidden="false" customHeight="false" outlineLevel="0" collapsed="false">
      <c r="A44" s="13" t="n">
        <f aca="false">IF(B44="","",$J$11-J44)</f>
        <v>2</v>
      </c>
      <c r="B44" s="21" t="n">
        <f aca="false">IF(29&lt;$O$13,INDEX($M$15:$M$74,30),IF(29&lt;$O$13+$Z$13,INDEX($X$15:$X$74,29-$O$13+1),IF(29&lt;$O$13+$Z$13+$AK$13,INDEX($AI$15:$AI$74,29-$O$13-$Z$13+1),"")))</f>
        <v>7</v>
      </c>
      <c r="C44" s="22"/>
      <c r="D44" s="22"/>
      <c r="E44" s="22"/>
      <c r="F44" s="22"/>
      <c r="G44" s="22"/>
      <c r="H44" s="22"/>
      <c r="I44" s="23" t="n">
        <f aca="false">IF(B44="",0,SQRT(B44*2^N(A44)))</f>
        <v>5.29150262212918</v>
      </c>
      <c r="J44" s="12" t="n">
        <f aca="false">IF(B44="","",IF(29&lt;$O$13,$O$3,IF(29&lt;$O$13+$Z$13,$Z$3,$AK$3)))</f>
        <v>0</v>
      </c>
      <c r="L44" s="24" t="n">
        <f aca="false">L43+1</f>
        <v>29</v>
      </c>
      <c r="M44" s="24" t="str">
        <f aca="false">IF(L44&gt;=$O$7,"",IF($O$9-$O$8+1&lt;=$O$7,IF($O$8+L44&lt;=$O$9,$O$8+L44,""),IF(L44&lt;$O$10,$O$8+L44,ROUND($O$11*$O$12^(L44-$O$10+1),0))))</f>
        <v/>
      </c>
      <c r="N44" s="24" t="str">
        <f aca="false">IF(M44="","",M44-M43)</f>
        <v/>
      </c>
      <c r="O44" s="13" t="str">
        <f aca="false">IF(M44="","",SQRT(M44*2^$O$4))</f>
        <v/>
      </c>
      <c r="Q44" s="25" t="n">
        <v>30</v>
      </c>
      <c r="R44" s="25" t="n">
        <f aca="false">$O$8+Q44-1</f>
        <v>30</v>
      </c>
      <c r="S44" s="26" t="str">
        <f aca="false">IF(Q44&lt;=$O$7-1,($O$9/R44)^(1/($O$7-Q44)),"")</f>
        <v/>
      </c>
      <c r="T44" s="25" t="n">
        <f aca="false">IF(S44="",0,IF(R44*(S44-1)&gt;=1,1,0))</f>
        <v>0</v>
      </c>
      <c r="W44" s="24" t="n">
        <f aca="false">W43+1</f>
        <v>29</v>
      </c>
      <c r="X44" s="24" t="str">
        <f aca="false">IF(W44&gt;=$Z$7,"",IF($Z$9-$Z$8+1&lt;=$Z$7,IF($Z$8+W44&lt;=$Z$9,$Z$8+W44,""),IF(W44&lt;$Z$10,$Z$8+W44,ROUND($Z$11*$Z$12^(W44-$Z$10+1),0))))</f>
        <v/>
      </c>
      <c r="Y44" s="24" t="str">
        <f aca="false">IF(X44="","",X44-X43)</f>
        <v/>
      </c>
      <c r="Z44" s="13" t="str">
        <f aca="false">IF(X44="","",SQRT(X44*2^$Z$4))</f>
        <v/>
      </c>
      <c r="AB44" s="25" t="n">
        <v>30</v>
      </c>
      <c r="AC44" s="25" t="n">
        <f aca="false">$Z$8+AB44-1</f>
        <v>33</v>
      </c>
      <c r="AD44" s="26" t="str">
        <f aca="false">IF(AB44&lt;=$Z$7-1,($Z$9/AC44)^(1/($Z$7-AB44)),"")</f>
        <v/>
      </c>
      <c r="AE44" s="25" t="n">
        <f aca="false">IF(AD44="",0,IF(AC44*(AD44-1)&gt;=1,1,0))</f>
        <v>0</v>
      </c>
      <c r="AH44" s="24" t="n">
        <f aca="false">AH43+1</f>
        <v>29</v>
      </c>
      <c r="AI44" s="24" t="str">
        <f aca="false">IF(AH44&gt;=$AK$7,"",IF($AK$9-$AK$8+1&lt;=$AK$7,IF($AK$8+AH44&lt;=$AK$9,$AK$8+AH44,""),IF(AH44&lt;$AK$10,$AK$8+AH44,ROUND($AK$11*$AK$12^(AH44-$AK$10+1),0))))</f>
        <v/>
      </c>
      <c r="AJ44" s="24" t="str">
        <f aca="false">IF(AI44="","",AI44-AI43)</f>
        <v/>
      </c>
      <c r="AK44" s="13" t="str">
        <f aca="false">IF(AI44="","",SQRT(AI44*2^$AK$4))</f>
        <v/>
      </c>
      <c r="AM44" s="25" t="n">
        <v>30</v>
      </c>
      <c r="AN44" s="25" t="n">
        <f aca="false">$AK$8+AM44-1</f>
        <v>33</v>
      </c>
      <c r="AO44" s="26" t="str">
        <f aca="false">IF(AM44&lt;=$AK$7-1,($AK$9/AN44)^(1/($AK$7-AM44)),"")</f>
        <v/>
      </c>
      <c r="AP44" s="25" t="n">
        <f aca="false">IF(AO44="",0,IF(AN44*(AO44-1)&gt;=1,1,0))</f>
        <v>0</v>
      </c>
    </row>
    <row r="45" customFormat="false" ht="15" hidden="false" customHeight="false" outlineLevel="0" collapsed="false">
      <c r="A45" s="13" t="n">
        <f aca="false">IF(B45="","",$J$11-J45)</f>
        <v>2</v>
      </c>
      <c r="B45" s="21" t="n">
        <f aca="false">IF(30&lt;$O$13,INDEX($M$15:$M$74,31),IF(30&lt;$O$13+$Z$13,INDEX($X$15:$X$74,30-$O$13+1),IF(30&lt;$O$13+$Z$13+$AK$13,INDEX($AI$15:$AI$74,30-$O$13-$Z$13+1),"")))</f>
        <v>8</v>
      </c>
      <c r="C45" s="22"/>
      <c r="D45" s="22"/>
      <c r="E45" s="22"/>
      <c r="F45" s="22"/>
      <c r="G45" s="22"/>
      <c r="H45" s="22"/>
      <c r="I45" s="23" t="n">
        <f aca="false">IF(B45="",0,SQRT(B45*2^N(A45)))</f>
        <v>5.65685424949238</v>
      </c>
      <c r="J45" s="12" t="n">
        <f aca="false">IF(B45="","",IF(30&lt;$O$13,$O$3,IF(30&lt;$O$13+$Z$13,$Z$3,$AK$3)))</f>
        <v>0</v>
      </c>
      <c r="L45" s="24" t="n">
        <f aca="false">L44+1</f>
        <v>30</v>
      </c>
      <c r="M45" s="24" t="str">
        <f aca="false">IF(L45&gt;=$O$7,"",IF($O$9-$O$8+1&lt;=$O$7,IF($O$8+L45&lt;=$O$9,$O$8+L45,""),IF(L45&lt;$O$10,$O$8+L45,ROUND($O$11*$O$12^(L45-$O$10+1),0))))</f>
        <v/>
      </c>
      <c r="N45" s="24" t="str">
        <f aca="false">IF(M45="","",M45-M44)</f>
        <v/>
      </c>
      <c r="O45" s="13" t="str">
        <f aca="false">IF(M45="","",SQRT(M45*2^$O$4))</f>
        <v/>
      </c>
      <c r="Q45" s="25" t="n">
        <v>31</v>
      </c>
      <c r="R45" s="25" t="n">
        <f aca="false">$O$8+Q45-1</f>
        <v>31</v>
      </c>
      <c r="S45" s="26" t="str">
        <f aca="false">IF(Q45&lt;=$O$7-1,($O$9/R45)^(1/($O$7-Q45)),"")</f>
        <v/>
      </c>
      <c r="T45" s="25" t="n">
        <f aca="false">IF(S45="",0,IF(R45*(S45-1)&gt;=1,1,0))</f>
        <v>0</v>
      </c>
      <c r="W45" s="24" t="n">
        <f aca="false">W44+1</f>
        <v>30</v>
      </c>
      <c r="X45" s="24" t="str">
        <f aca="false">IF(W45&gt;=$Z$7,"",IF($Z$9-$Z$8+1&lt;=$Z$7,IF($Z$8+W45&lt;=$Z$9,$Z$8+W45,""),IF(W45&lt;$Z$10,$Z$8+W45,ROUND($Z$11*$Z$12^(W45-$Z$10+1),0))))</f>
        <v/>
      </c>
      <c r="Y45" s="24" t="str">
        <f aca="false">IF(X45="","",X45-X44)</f>
        <v/>
      </c>
      <c r="Z45" s="13" t="str">
        <f aca="false">IF(X45="","",SQRT(X45*2^$Z$4))</f>
        <v/>
      </c>
      <c r="AB45" s="25" t="n">
        <v>31</v>
      </c>
      <c r="AC45" s="25" t="n">
        <f aca="false">$Z$8+AB45-1</f>
        <v>34</v>
      </c>
      <c r="AD45" s="26" t="str">
        <f aca="false">IF(AB45&lt;=$Z$7-1,($Z$9/AC45)^(1/($Z$7-AB45)),"")</f>
        <v/>
      </c>
      <c r="AE45" s="25" t="n">
        <f aca="false">IF(AD45="",0,IF(AC45*(AD45-1)&gt;=1,1,0))</f>
        <v>0</v>
      </c>
      <c r="AH45" s="24" t="n">
        <f aca="false">AH44+1</f>
        <v>30</v>
      </c>
      <c r="AI45" s="24" t="str">
        <f aca="false">IF(AH45&gt;=$AK$7,"",IF($AK$9-$AK$8+1&lt;=$AK$7,IF($AK$8+AH45&lt;=$AK$9,$AK$8+AH45,""),IF(AH45&lt;$AK$10,$AK$8+AH45,ROUND($AK$11*$AK$12^(AH45-$AK$10+1),0))))</f>
        <v/>
      </c>
      <c r="AJ45" s="24" t="str">
        <f aca="false">IF(AI45="","",AI45-AI44)</f>
        <v/>
      </c>
      <c r="AK45" s="13" t="str">
        <f aca="false">IF(AI45="","",SQRT(AI45*2^$AK$4))</f>
        <v/>
      </c>
      <c r="AM45" s="25" t="n">
        <v>31</v>
      </c>
      <c r="AN45" s="25" t="n">
        <f aca="false">$AK$8+AM45-1</f>
        <v>34</v>
      </c>
      <c r="AO45" s="26" t="str">
        <f aca="false">IF(AM45&lt;=$AK$7-1,($AK$9/AN45)^(1/($AK$7-AM45)),"")</f>
        <v/>
      </c>
      <c r="AP45" s="25" t="n">
        <f aca="false">IF(AO45="",0,IF(AN45*(AO45-1)&gt;=1,1,0))</f>
        <v>0</v>
      </c>
    </row>
    <row r="46" customFormat="false" ht="15" hidden="false" customHeight="false" outlineLevel="0" collapsed="false">
      <c r="A46" s="13" t="n">
        <f aca="false">IF(B46="","",$J$11-J46)</f>
        <v>2</v>
      </c>
      <c r="B46" s="21" t="n">
        <f aca="false">IF(31&lt;$O$13,INDEX($M$15:$M$74,32),IF(31&lt;$O$13+$Z$13,INDEX($X$15:$X$74,31-$O$13+1),IF(31&lt;$O$13+$Z$13+$AK$13,INDEX($AI$15:$AI$74,31-$O$13-$Z$13+1),"")))</f>
        <v>9</v>
      </c>
      <c r="C46" s="22"/>
      <c r="D46" s="22"/>
      <c r="E46" s="22"/>
      <c r="F46" s="22"/>
      <c r="G46" s="22"/>
      <c r="H46" s="22"/>
      <c r="I46" s="23" t="n">
        <f aca="false">IF(B46="",0,SQRT(B46*2^N(A46)))</f>
        <v>6</v>
      </c>
      <c r="J46" s="12" t="n">
        <f aca="false">IF(B46="","",IF(31&lt;$O$13,$O$3,IF(31&lt;$O$13+$Z$13,$Z$3,$AK$3)))</f>
        <v>0</v>
      </c>
      <c r="L46" s="24" t="n">
        <f aca="false">L45+1</f>
        <v>31</v>
      </c>
      <c r="M46" s="24" t="str">
        <f aca="false">IF(L46&gt;=$O$7,"",IF($O$9-$O$8+1&lt;=$O$7,IF($O$8+L46&lt;=$O$9,$O$8+L46,""),IF(L46&lt;$O$10,$O$8+L46,ROUND($O$11*$O$12^(L46-$O$10+1),0))))</f>
        <v/>
      </c>
      <c r="N46" s="24" t="str">
        <f aca="false">IF(M46="","",M46-M45)</f>
        <v/>
      </c>
      <c r="O46" s="13" t="str">
        <f aca="false">IF(M46="","",SQRT(M46*2^$O$4))</f>
        <v/>
      </c>
      <c r="Q46" s="25" t="n">
        <v>32</v>
      </c>
      <c r="R46" s="25" t="n">
        <f aca="false">$O$8+Q46-1</f>
        <v>32</v>
      </c>
      <c r="S46" s="26" t="str">
        <f aca="false">IF(Q46&lt;=$O$7-1,($O$9/R46)^(1/($O$7-Q46)),"")</f>
        <v/>
      </c>
      <c r="T46" s="25" t="n">
        <f aca="false">IF(S46="",0,IF(R46*(S46-1)&gt;=1,1,0))</f>
        <v>0</v>
      </c>
      <c r="W46" s="24" t="n">
        <f aca="false">W45+1</f>
        <v>31</v>
      </c>
      <c r="X46" s="24" t="str">
        <f aca="false">IF(W46&gt;=$Z$7,"",IF($Z$9-$Z$8+1&lt;=$Z$7,IF($Z$8+W46&lt;=$Z$9,$Z$8+W46,""),IF(W46&lt;$Z$10,$Z$8+W46,ROUND($Z$11*$Z$12^(W46-$Z$10+1),0))))</f>
        <v/>
      </c>
      <c r="Y46" s="24" t="str">
        <f aca="false">IF(X46="","",X46-X45)</f>
        <v/>
      </c>
      <c r="Z46" s="13" t="str">
        <f aca="false">IF(X46="","",SQRT(X46*2^$Z$4))</f>
        <v/>
      </c>
      <c r="AB46" s="25" t="n">
        <v>32</v>
      </c>
      <c r="AC46" s="25" t="n">
        <f aca="false">$Z$8+AB46-1</f>
        <v>35</v>
      </c>
      <c r="AD46" s="26" t="str">
        <f aca="false">IF(AB46&lt;=$Z$7-1,($Z$9/AC46)^(1/($Z$7-AB46)),"")</f>
        <v/>
      </c>
      <c r="AE46" s="25" t="n">
        <f aca="false">IF(AD46="",0,IF(AC46*(AD46-1)&gt;=1,1,0))</f>
        <v>0</v>
      </c>
      <c r="AH46" s="24" t="n">
        <f aca="false">AH45+1</f>
        <v>31</v>
      </c>
      <c r="AI46" s="24" t="str">
        <f aca="false">IF(AH46&gt;=$AK$7,"",IF($AK$9-$AK$8+1&lt;=$AK$7,IF($AK$8+AH46&lt;=$AK$9,$AK$8+AH46,""),IF(AH46&lt;$AK$10,$AK$8+AH46,ROUND($AK$11*$AK$12^(AH46-$AK$10+1),0))))</f>
        <v/>
      </c>
      <c r="AJ46" s="24" t="str">
        <f aca="false">IF(AI46="","",AI46-AI45)</f>
        <v/>
      </c>
      <c r="AK46" s="13" t="str">
        <f aca="false">IF(AI46="","",SQRT(AI46*2^$AK$4))</f>
        <v/>
      </c>
      <c r="AM46" s="25" t="n">
        <v>32</v>
      </c>
      <c r="AN46" s="25" t="n">
        <f aca="false">$AK$8+AM46-1</f>
        <v>35</v>
      </c>
      <c r="AO46" s="26" t="str">
        <f aca="false">IF(AM46&lt;=$AK$7-1,($AK$9/AN46)^(1/($AK$7-AM46)),"")</f>
        <v/>
      </c>
      <c r="AP46" s="25" t="n">
        <f aca="false">IF(AO46="",0,IF(AN46*(AO46-1)&gt;=1,1,0))</f>
        <v>0</v>
      </c>
    </row>
    <row r="47" customFormat="false" ht="15" hidden="false" customHeight="false" outlineLevel="0" collapsed="false">
      <c r="A47" s="13" t="n">
        <f aca="false">IF(B47="","",$J$11-J47)</f>
        <v>2</v>
      </c>
      <c r="B47" s="21" t="n">
        <f aca="false">IF(32&lt;$O$13,INDEX($M$15:$M$74,33),IF(32&lt;$O$13+$Z$13,INDEX($X$15:$X$74,32-$O$13+1),IF(32&lt;$O$13+$Z$13+$AK$13,INDEX($AI$15:$AI$74,32-$O$13-$Z$13+1),"")))</f>
        <v>10</v>
      </c>
      <c r="C47" s="22"/>
      <c r="D47" s="22"/>
      <c r="E47" s="22"/>
      <c r="F47" s="22"/>
      <c r="G47" s="22"/>
      <c r="H47" s="22"/>
      <c r="I47" s="23" t="n">
        <f aca="false">IF(B47="",0,SQRT(B47*2^N(A47)))</f>
        <v>6.32455532033676</v>
      </c>
      <c r="J47" s="12" t="n">
        <f aca="false">IF(B47="","",IF(32&lt;$O$13,$O$3,IF(32&lt;$O$13+$Z$13,$Z$3,$AK$3)))</f>
        <v>0</v>
      </c>
      <c r="L47" s="24" t="n">
        <f aca="false">L46+1</f>
        <v>32</v>
      </c>
      <c r="M47" s="24" t="str">
        <f aca="false">IF(L47&gt;=$O$7,"",IF($O$9-$O$8+1&lt;=$O$7,IF($O$8+L47&lt;=$O$9,$O$8+L47,""),IF(L47&lt;$O$10,$O$8+L47,ROUND($O$11*$O$12^(L47-$O$10+1),0))))</f>
        <v/>
      </c>
      <c r="N47" s="24" t="str">
        <f aca="false">IF(M47="","",M47-M46)</f>
        <v/>
      </c>
      <c r="O47" s="13" t="str">
        <f aca="false">IF(M47="","",SQRT(M47*2^$O$4))</f>
        <v/>
      </c>
      <c r="Q47" s="25" t="n">
        <v>33</v>
      </c>
      <c r="R47" s="25" t="n">
        <f aca="false">$O$8+Q47-1</f>
        <v>33</v>
      </c>
      <c r="S47" s="26" t="str">
        <f aca="false">IF(Q47&lt;=$O$7-1,($O$9/R47)^(1/($O$7-Q47)),"")</f>
        <v/>
      </c>
      <c r="T47" s="25" t="n">
        <f aca="false">IF(S47="",0,IF(R47*(S47-1)&gt;=1,1,0))</f>
        <v>0</v>
      </c>
      <c r="W47" s="24" t="n">
        <f aca="false">W46+1</f>
        <v>32</v>
      </c>
      <c r="X47" s="24" t="str">
        <f aca="false">IF(W47&gt;=$Z$7,"",IF($Z$9-$Z$8+1&lt;=$Z$7,IF($Z$8+W47&lt;=$Z$9,$Z$8+W47,""),IF(W47&lt;$Z$10,$Z$8+W47,ROUND($Z$11*$Z$12^(W47-$Z$10+1),0))))</f>
        <v/>
      </c>
      <c r="Y47" s="24" t="str">
        <f aca="false">IF(X47="","",X47-X46)</f>
        <v/>
      </c>
      <c r="Z47" s="13" t="str">
        <f aca="false">IF(X47="","",SQRT(X47*2^$Z$4))</f>
        <v/>
      </c>
      <c r="AB47" s="25" t="n">
        <v>33</v>
      </c>
      <c r="AC47" s="25" t="n">
        <f aca="false">$Z$8+AB47-1</f>
        <v>36</v>
      </c>
      <c r="AD47" s="26" t="str">
        <f aca="false">IF(AB47&lt;=$Z$7-1,($Z$9/AC47)^(1/($Z$7-AB47)),"")</f>
        <v/>
      </c>
      <c r="AE47" s="25" t="n">
        <f aca="false">IF(AD47="",0,IF(AC47*(AD47-1)&gt;=1,1,0))</f>
        <v>0</v>
      </c>
      <c r="AH47" s="24" t="n">
        <f aca="false">AH46+1</f>
        <v>32</v>
      </c>
      <c r="AI47" s="24" t="str">
        <f aca="false">IF(AH47&gt;=$AK$7,"",IF($AK$9-$AK$8+1&lt;=$AK$7,IF($AK$8+AH47&lt;=$AK$9,$AK$8+AH47,""),IF(AH47&lt;$AK$10,$AK$8+AH47,ROUND($AK$11*$AK$12^(AH47-$AK$10+1),0))))</f>
        <v/>
      </c>
      <c r="AJ47" s="24" t="str">
        <f aca="false">IF(AI47="","",AI47-AI46)</f>
        <v/>
      </c>
      <c r="AK47" s="13" t="str">
        <f aca="false">IF(AI47="","",SQRT(AI47*2^$AK$4))</f>
        <v/>
      </c>
      <c r="AM47" s="25" t="n">
        <v>33</v>
      </c>
      <c r="AN47" s="25" t="n">
        <f aca="false">$AK$8+AM47-1</f>
        <v>36</v>
      </c>
      <c r="AO47" s="26" t="str">
        <f aca="false">IF(AM47&lt;=$AK$7-1,($AK$9/AN47)^(1/($AK$7-AM47)),"")</f>
        <v/>
      </c>
      <c r="AP47" s="25" t="n">
        <f aca="false">IF(AO47="",0,IF(AN47*(AO47-1)&gt;=1,1,0))</f>
        <v>0</v>
      </c>
    </row>
    <row r="48" customFormat="false" ht="15" hidden="false" customHeight="false" outlineLevel="0" collapsed="false">
      <c r="A48" s="13" t="n">
        <f aca="false">IF(B48="","",$J$11-J48)</f>
        <v>2</v>
      </c>
      <c r="B48" s="21" t="n">
        <f aca="false">IF(33&lt;$O$13,INDEX($M$15:$M$74,34),IF(33&lt;$O$13+$Z$13,INDEX($X$15:$X$74,33-$O$13+1),IF(33&lt;$O$13+$Z$13+$AK$13,INDEX($AI$15:$AI$74,33-$O$13-$Z$13+1),"")))</f>
        <v>11</v>
      </c>
      <c r="C48" s="22"/>
      <c r="D48" s="22"/>
      <c r="E48" s="22"/>
      <c r="F48" s="22"/>
      <c r="G48" s="22"/>
      <c r="H48" s="22"/>
      <c r="I48" s="23" t="n">
        <f aca="false">IF(B48="",0,SQRT(B48*2^N(A48)))</f>
        <v>6.6332495807108</v>
      </c>
      <c r="J48" s="12" t="n">
        <f aca="false">IF(B48="","",IF(33&lt;$O$13,$O$3,IF(33&lt;$O$13+$Z$13,$Z$3,$AK$3)))</f>
        <v>0</v>
      </c>
      <c r="L48" s="24" t="n">
        <f aca="false">L47+1</f>
        <v>33</v>
      </c>
      <c r="M48" s="24" t="str">
        <f aca="false">IF(L48&gt;=$O$7,"",IF($O$9-$O$8+1&lt;=$O$7,IF($O$8+L48&lt;=$O$9,$O$8+L48,""),IF(L48&lt;$O$10,$O$8+L48,ROUND($O$11*$O$12^(L48-$O$10+1),0))))</f>
        <v/>
      </c>
      <c r="N48" s="24" t="str">
        <f aca="false">IF(M48="","",M48-M47)</f>
        <v/>
      </c>
      <c r="O48" s="13" t="str">
        <f aca="false">IF(M48="","",SQRT(M48*2^$O$4))</f>
        <v/>
      </c>
      <c r="Q48" s="25" t="n">
        <v>34</v>
      </c>
      <c r="R48" s="25" t="n">
        <f aca="false">$O$8+Q48-1</f>
        <v>34</v>
      </c>
      <c r="S48" s="26" t="str">
        <f aca="false">IF(Q48&lt;=$O$7-1,($O$9/R48)^(1/($O$7-Q48)),"")</f>
        <v/>
      </c>
      <c r="T48" s="25" t="n">
        <f aca="false">IF(S48="",0,IF(R48*(S48-1)&gt;=1,1,0))</f>
        <v>0</v>
      </c>
      <c r="W48" s="24" t="n">
        <f aca="false">W47+1</f>
        <v>33</v>
      </c>
      <c r="X48" s="24" t="str">
        <f aca="false">IF(W48&gt;=$Z$7,"",IF($Z$9-$Z$8+1&lt;=$Z$7,IF($Z$8+W48&lt;=$Z$9,$Z$8+W48,""),IF(W48&lt;$Z$10,$Z$8+W48,ROUND($Z$11*$Z$12^(W48-$Z$10+1),0))))</f>
        <v/>
      </c>
      <c r="Y48" s="24" t="str">
        <f aca="false">IF(X48="","",X48-X47)</f>
        <v/>
      </c>
      <c r="Z48" s="13" t="str">
        <f aca="false">IF(X48="","",SQRT(X48*2^$Z$4))</f>
        <v/>
      </c>
      <c r="AB48" s="25" t="n">
        <v>34</v>
      </c>
      <c r="AC48" s="25" t="n">
        <f aca="false">$Z$8+AB48-1</f>
        <v>37</v>
      </c>
      <c r="AD48" s="26" t="str">
        <f aca="false">IF(AB48&lt;=$Z$7-1,($Z$9/AC48)^(1/($Z$7-AB48)),"")</f>
        <v/>
      </c>
      <c r="AE48" s="25" t="n">
        <f aca="false">IF(AD48="",0,IF(AC48*(AD48-1)&gt;=1,1,0))</f>
        <v>0</v>
      </c>
      <c r="AH48" s="24" t="n">
        <f aca="false">AH47+1</f>
        <v>33</v>
      </c>
      <c r="AI48" s="24" t="str">
        <f aca="false">IF(AH48&gt;=$AK$7,"",IF($AK$9-$AK$8+1&lt;=$AK$7,IF($AK$8+AH48&lt;=$AK$9,$AK$8+AH48,""),IF(AH48&lt;$AK$10,$AK$8+AH48,ROUND($AK$11*$AK$12^(AH48-$AK$10+1),0))))</f>
        <v/>
      </c>
      <c r="AJ48" s="24" t="str">
        <f aca="false">IF(AI48="","",AI48-AI47)</f>
        <v/>
      </c>
      <c r="AK48" s="13" t="str">
        <f aca="false">IF(AI48="","",SQRT(AI48*2^$AK$4))</f>
        <v/>
      </c>
      <c r="AM48" s="25" t="n">
        <v>34</v>
      </c>
      <c r="AN48" s="25" t="n">
        <f aca="false">$AK$8+AM48-1</f>
        <v>37</v>
      </c>
      <c r="AO48" s="26" t="str">
        <f aca="false">IF(AM48&lt;=$AK$7-1,($AK$9/AN48)^(1/($AK$7-AM48)),"")</f>
        <v/>
      </c>
      <c r="AP48" s="25" t="n">
        <f aca="false">IF(AO48="",0,IF(AN48*(AO48-1)&gt;=1,1,0))</f>
        <v>0</v>
      </c>
    </row>
    <row r="49" customFormat="false" ht="15" hidden="false" customHeight="false" outlineLevel="0" collapsed="false">
      <c r="A49" s="13" t="n">
        <f aca="false">IF(B49="","",$J$11-J49)</f>
        <v>2</v>
      </c>
      <c r="B49" s="21" t="n">
        <f aca="false">IF(34&lt;$O$13,INDEX($M$15:$M$74,35),IF(34&lt;$O$13+$Z$13,INDEX($X$15:$X$74,34-$O$13+1),IF(34&lt;$O$13+$Z$13+$AK$13,INDEX($AI$15:$AI$74,34-$O$13-$Z$13+1),"")))</f>
        <v>12</v>
      </c>
      <c r="C49" s="22"/>
      <c r="D49" s="22"/>
      <c r="E49" s="22"/>
      <c r="F49" s="22"/>
      <c r="G49" s="22"/>
      <c r="H49" s="22"/>
      <c r="I49" s="23" t="n">
        <f aca="false">IF(B49="",0,SQRT(B49*2^N(A49)))</f>
        <v>6.92820323027551</v>
      </c>
      <c r="J49" s="12" t="n">
        <f aca="false">IF(B49="","",IF(34&lt;$O$13,$O$3,IF(34&lt;$O$13+$Z$13,$Z$3,$AK$3)))</f>
        <v>0</v>
      </c>
      <c r="L49" s="24" t="n">
        <f aca="false">L48+1</f>
        <v>34</v>
      </c>
      <c r="M49" s="24" t="str">
        <f aca="false">IF(L49&gt;=$O$7,"",IF($O$9-$O$8+1&lt;=$O$7,IF($O$8+L49&lt;=$O$9,$O$8+L49,""),IF(L49&lt;$O$10,$O$8+L49,ROUND($O$11*$O$12^(L49-$O$10+1),0))))</f>
        <v/>
      </c>
      <c r="N49" s="24" t="str">
        <f aca="false">IF(M49="","",M49-M48)</f>
        <v/>
      </c>
      <c r="O49" s="13" t="str">
        <f aca="false">IF(M49="","",SQRT(M49*2^$O$4))</f>
        <v/>
      </c>
      <c r="Q49" s="25" t="n">
        <v>35</v>
      </c>
      <c r="R49" s="25" t="n">
        <f aca="false">$O$8+Q49-1</f>
        <v>35</v>
      </c>
      <c r="S49" s="26" t="str">
        <f aca="false">IF(Q49&lt;=$O$7-1,($O$9/R49)^(1/($O$7-Q49)),"")</f>
        <v/>
      </c>
      <c r="T49" s="25" t="n">
        <f aca="false">IF(S49="",0,IF(R49*(S49-1)&gt;=1,1,0))</f>
        <v>0</v>
      </c>
      <c r="W49" s="24" t="n">
        <f aca="false">W48+1</f>
        <v>34</v>
      </c>
      <c r="X49" s="24" t="str">
        <f aca="false">IF(W49&gt;=$Z$7,"",IF($Z$9-$Z$8+1&lt;=$Z$7,IF($Z$8+W49&lt;=$Z$9,$Z$8+W49,""),IF(W49&lt;$Z$10,$Z$8+W49,ROUND($Z$11*$Z$12^(W49-$Z$10+1),0))))</f>
        <v/>
      </c>
      <c r="Y49" s="24" t="str">
        <f aca="false">IF(X49="","",X49-X48)</f>
        <v/>
      </c>
      <c r="Z49" s="13" t="str">
        <f aca="false">IF(X49="","",SQRT(X49*2^$Z$4))</f>
        <v/>
      </c>
      <c r="AB49" s="25" t="n">
        <v>35</v>
      </c>
      <c r="AC49" s="25" t="n">
        <f aca="false">$Z$8+AB49-1</f>
        <v>38</v>
      </c>
      <c r="AD49" s="26" t="str">
        <f aca="false">IF(AB49&lt;=$Z$7-1,($Z$9/AC49)^(1/($Z$7-AB49)),"")</f>
        <v/>
      </c>
      <c r="AE49" s="25" t="n">
        <f aca="false">IF(AD49="",0,IF(AC49*(AD49-1)&gt;=1,1,0))</f>
        <v>0</v>
      </c>
      <c r="AH49" s="24" t="n">
        <f aca="false">AH48+1</f>
        <v>34</v>
      </c>
      <c r="AI49" s="24" t="str">
        <f aca="false">IF(AH49&gt;=$AK$7,"",IF($AK$9-$AK$8+1&lt;=$AK$7,IF($AK$8+AH49&lt;=$AK$9,$AK$8+AH49,""),IF(AH49&lt;$AK$10,$AK$8+AH49,ROUND($AK$11*$AK$12^(AH49-$AK$10+1),0))))</f>
        <v/>
      </c>
      <c r="AJ49" s="24" t="str">
        <f aca="false">IF(AI49="","",AI49-AI48)</f>
        <v/>
      </c>
      <c r="AK49" s="13" t="str">
        <f aca="false">IF(AI49="","",SQRT(AI49*2^$AK$4))</f>
        <v/>
      </c>
      <c r="AM49" s="25" t="n">
        <v>35</v>
      </c>
      <c r="AN49" s="25" t="n">
        <f aca="false">$AK$8+AM49-1</f>
        <v>38</v>
      </c>
      <c r="AO49" s="26" t="str">
        <f aca="false">IF(AM49&lt;=$AK$7-1,($AK$9/AN49)^(1/($AK$7-AM49)),"")</f>
        <v/>
      </c>
      <c r="AP49" s="25" t="n">
        <f aca="false">IF(AO49="",0,IF(AN49*(AO49-1)&gt;=1,1,0))</f>
        <v>0</v>
      </c>
    </row>
    <row r="50" customFormat="false" ht="15" hidden="false" customHeight="false" outlineLevel="0" collapsed="false">
      <c r="A50" s="13" t="n">
        <f aca="false">IF(B50="","",$J$11-J50)</f>
        <v>2</v>
      </c>
      <c r="B50" s="21" t="n">
        <f aca="false">IF(35&lt;$O$13,INDEX($M$15:$M$74,36),IF(35&lt;$O$13+$Z$13,INDEX($X$15:$X$74,35-$O$13+1),IF(35&lt;$O$13+$Z$13+$AK$13,INDEX($AI$15:$AI$74,35-$O$13-$Z$13+1),"")))</f>
        <v>13</v>
      </c>
      <c r="C50" s="22"/>
      <c r="D50" s="22"/>
      <c r="E50" s="22"/>
      <c r="F50" s="22"/>
      <c r="G50" s="22"/>
      <c r="H50" s="22"/>
      <c r="I50" s="23" t="n">
        <f aca="false">IF(B50="",0,SQRT(B50*2^N(A50)))</f>
        <v>7.21110255092798</v>
      </c>
      <c r="J50" s="12" t="n">
        <f aca="false">IF(B50="","",IF(35&lt;$O$13,$O$3,IF(35&lt;$O$13+$Z$13,$Z$3,$AK$3)))</f>
        <v>0</v>
      </c>
      <c r="L50" s="24" t="n">
        <f aca="false">L49+1</f>
        <v>35</v>
      </c>
      <c r="M50" s="24" t="str">
        <f aca="false">IF(L50&gt;=$O$7,"",IF($O$9-$O$8+1&lt;=$O$7,IF($O$8+L50&lt;=$O$9,$O$8+L50,""),IF(L50&lt;$O$10,$O$8+L50,ROUND($O$11*$O$12^(L50-$O$10+1),0))))</f>
        <v/>
      </c>
      <c r="N50" s="24" t="str">
        <f aca="false">IF(M50="","",M50-M49)</f>
        <v/>
      </c>
      <c r="O50" s="13" t="str">
        <f aca="false">IF(M50="","",SQRT(M50*2^$O$4))</f>
        <v/>
      </c>
      <c r="Q50" s="25" t="n">
        <v>36</v>
      </c>
      <c r="R50" s="25" t="n">
        <f aca="false">$O$8+Q50-1</f>
        <v>36</v>
      </c>
      <c r="S50" s="26" t="str">
        <f aca="false">IF(Q50&lt;=$O$7-1,($O$9/R50)^(1/($O$7-Q50)),"")</f>
        <v/>
      </c>
      <c r="T50" s="25" t="n">
        <f aca="false">IF(S50="",0,IF(R50*(S50-1)&gt;=1,1,0))</f>
        <v>0</v>
      </c>
      <c r="W50" s="24" t="n">
        <f aca="false">W49+1</f>
        <v>35</v>
      </c>
      <c r="X50" s="24" t="str">
        <f aca="false">IF(W50&gt;=$Z$7,"",IF($Z$9-$Z$8+1&lt;=$Z$7,IF($Z$8+W50&lt;=$Z$9,$Z$8+W50,""),IF(W50&lt;$Z$10,$Z$8+W50,ROUND($Z$11*$Z$12^(W50-$Z$10+1),0))))</f>
        <v/>
      </c>
      <c r="Y50" s="24" t="str">
        <f aca="false">IF(X50="","",X50-X49)</f>
        <v/>
      </c>
      <c r="Z50" s="13" t="str">
        <f aca="false">IF(X50="","",SQRT(X50*2^$Z$4))</f>
        <v/>
      </c>
      <c r="AB50" s="25" t="n">
        <v>36</v>
      </c>
      <c r="AC50" s="25" t="n">
        <f aca="false">$Z$8+AB50-1</f>
        <v>39</v>
      </c>
      <c r="AD50" s="26" t="str">
        <f aca="false">IF(AB50&lt;=$Z$7-1,($Z$9/AC50)^(1/($Z$7-AB50)),"")</f>
        <v/>
      </c>
      <c r="AE50" s="25" t="n">
        <f aca="false">IF(AD50="",0,IF(AC50*(AD50-1)&gt;=1,1,0))</f>
        <v>0</v>
      </c>
      <c r="AH50" s="24" t="n">
        <f aca="false">AH49+1</f>
        <v>35</v>
      </c>
      <c r="AI50" s="24" t="str">
        <f aca="false">IF(AH50&gt;=$AK$7,"",IF($AK$9-$AK$8+1&lt;=$AK$7,IF($AK$8+AH50&lt;=$AK$9,$AK$8+AH50,""),IF(AH50&lt;$AK$10,$AK$8+AH50,ROUND($AK$11*$AK$12^(AH50-$AK$10+1),0))))</f>
        <v/>
      </c>
      <c r="AJ50" s="24" t="str">
        <f aca="false">IF(AI50="","",AI50-AI49)</f>
        <v/>
      </c>
      <c r="AK50" s="13" t="str">
        <f aca="false">IF(AI50="","",SQRT(AI50*2^$AK$4))</f>
        <v/>
      </c>
      <c r="AM50" s="25" t="n">
        <v>36</v>
      </c>
      <c r="AN50" s="25" t="n">
        <f aca="false">$AK$8+AM50-1</f>
        <v>39</v>
      </c>
      <c r="AO50" s="26" t="str">
        <f aca="false">IF(AM50&lt;=$AK$7-1,($AK$9/AN50)^(1/($AK$7-AM50)),"")</f>
        <v/>
      </c>
      <c r="AP50" s="25" t="n">
        <f aca="false">IF(AO50="",0,IF(AN50*(AO50-1)&gt;=1,1,0))</f>
        <v>0</v>
      </c>
    </row>
    <row r="51" customFormat="false" ht="15" hidden="false" customHeight="false" outlineLevel="0" collapsed="false">
      <c r="A51" s="13" t="n">
        <f aca="false">IF(B51="","",$J$11-J51)</f>
        <v>2</v>
      </c>
      <c r="B51" s="21" t="n">
        <f aca="false">IF(36&lt;$O$13,INDEX($M$15:$M$74,37),IF(36&lt;$O$13+$Z$13,INDEX($X$15:$X$74,36-$O$13+1),IF(36&lt;$O$13+$Z$13+$AK$13,INDEX($AI$15:$AI$74,36-$O$13-$Z$13+1),"")))</f>
        <v>14</v>
      </c>
      <c r="C51" s="22"/>
      <c r="D51" s="22"/>
      <c r="E51" s="22"/>
      <c r="F51" s="22"/>
      <c r="G51" s="22"/>
      <c r="H51" s="22"/>
      <c r="I51" s="23" t="n">
        <f aca="false">IF(B51="",0,SQRT(B51*2^N(A51)))</f>
        <v>7.48331477354788</v>
      </c>
      <c r="J51" s="12" t="n">
        <f aca="false">IF(B51="","",IF(36&lt;$O$13,$O$3,IF(36&lt;$O$13+$Z$13,$Z$3,$AK$3)))</f>
        <v>0</v>
      </c>
      <c r="L51" s="24" t="n">
        <f aca="false">L50+1</f>
        <v>36</v>
      </c>
      <c r="M51" s="24" t="str">
        <f aca="false">IF(L51&gt;=$O$7,"",IF($O$9-$O$8+1&lt;=$O$7,IF($O$8+L51&lt;=$O$9,$O$8+L51,""),IF(L51&lt;$O$10,$O$8+L51,ROUND($O$11*$O$12^(L51-$O$10+1),0))))</f>
        <v/>
      </c>
      <c r="N51" s="24" t="str">
        <f aca="false">IF(M51="","",M51-M50)</f>
        <v/>
      </c>
      <c r="O51" s="13" t="str">
        <f aca="false">IF(M51="","",SQRT(M51*2^$O$4))</f>
        <v/>
      </c>
      <c r="Q51" s="25" t="n">
        <v>37</v>
      </c>
      <c r="R51" s="25" t="n">
        <f aca="false">$O$8+Q51-1</f>
        <v>37</v>
      </c>
      <c r="S51" s="26" t="str">
        <f aca="false">IF(Q51&lt;=$O$7-1,($O$9/R51)^(1/($O$7-Q51)),"")</f>
        <v/>
      </c>
      <c r="T51" s="25" t="n">
        <f aca="false">IF(S51="",0,IF(R51*(S51-1)&gt;=1,1,0))</f>
        <v>0</v>
      </c>
      <c r="W51" s="24" t="n">
        <f aca="false">W50+1</f>
        <v>36</v>
      </c>
      <c r="X51" s="24" t="str">
        <f aca="false">IF(W51&gt;=$Z$7,"",IF($Z$9-$Z$8+1&lt;=$Z$7,IF($Z$8+W51&lt;=$Z$9,$Z$8+W51,""),IF(W51&lt;$Z$10,$Z$8+W51,ROUND($Z$11*$Z$12^(W51-$Z$10+1),0))))</f>
        <v/>
      </c>
      <c r="Y51" s="24" t="str">
        <f aca="false">IF(X51="","",X51-X50)</f>
        <v/>
      </c>
      <c r="Z51" s="13" t="str">
        <f aca="false">IF(X51="","",SQRT(X51*2^$Z$4))</f>
        <v/>
      </c>
      <c r="AB51" s="25" t="n">
        <v>37</v>
      </c>
      <c r="AC51" s="25" t="n">
        <f aca="false">$Z$8+AB51-1</f>
        <v>40</v>
      </c>
      <c r="AD51" s="26" t="str">
        <f aca="false">IF(AB51&lt;=$Z$7-1,($Z$9/AC51)^(1/($Z$7-AB51)),"")</f>
        <v/>
      </c>
      <c r="AE51" s="25" t="n">
        <f aca="false">IF(AD51="",0,IF(AC51*(AD51-1)&gt;=1,1,0))</f>
        <v>0</v>
      </c>
      <c r="AH51" s="24" t="n">
        <f aca="false">AH50+1</f>
        <v>36</v>
      </c>
      <c r="AI51" s="24" t="str">
        <f aca="false">IF(AH51&gt;=$AK$7,"",IF($AK$9-$AK$8+1&lt;=$AK$7,IF($AK$8+AH51&lt;=$AK$9,$AK$8+AH51,""),IF(AH51&lt;$AK$10,$AK$8+AH51,ROUND($AK$11*$AK$12^(AH51-$AK$10+1),0))))</f>
        <v/>
      </c>
      <c r="AJ51" s="24" t="str">
        <f aca="false">IF(AI51="","",AI51-AI50)</f>
        <v/>
      </c>
      <c r="AK51" s="13" t="str">
        <f aca="false">IF(AI51="","",SQRT(AI51*2^$AK$4))</f>
        <v/>
      </c>
      <c r="AM51" s="25" t="n">
        <v>37</v>
      </c>
      <c r="AN51" s="25" t="n">
        <f aca="false">$AK$8+AM51-1</f>
        <v>40</v>
      </c>
      <c r="AO51" s="26" t="str">
        <f aca="false">IF(AM51&lt;=$AK$7-1,($AK$9/AN51)^(1/($AK$7-AM51)),"")</f>
        <v/>
      </c>
      <c r="AP51" s="25" t="n">
        <f aca="false">IF(AO51="",0,IF(AN51*(AO51-1)&gt;=1,1,0))</f>
        <v>0</v>
      </c>
    </row>
    <row r="52" customFormat="false" ht="15" hidden="false" customHeight="false" outlineLevel="0" collapsed="false">
      <c r="A52" s="13" t="n">
        <f aca="false">IF(B52="","",$J$11-J52)</f>
        <v>2</v>
      </c>
      <c r="B52" s="21" t="n">
        <f aca="false">IF(37&lt;$O$13,INDEX($M$15:$M$74,38),IF(37&lt;$O$13+$Z$13,INDEX($X$15:$X$74,37-$O$13+1),IF(37&lt;$O$13+$Z$13+$AK$13,INDEX($AI$15:$AI$74,37-$O$13-$Z$13+1),"")))</f>
        <v>15</v>
      </c>
      <c r="C52" s="22"/>
      <c r="D52" s="22"/>
      <c r="E52" s="22"/>
      <c r="F52" s="22"/>
      <c r="G52" s="22"/>
      <c r="H52" s="22"/>
      <c r="I52" s="23" t="n">
        <f aca="false">IF(B52="",0,SQRT(B52*2^N(A52)))</f>
        <v>7.74596669241483</v>
      </c>
      <c r="J52" s="12" t="n">
        <f aca="false">IF(B52="","",IF(37&lt;$O$13,$O$3,IF(37&lt;$O$13+$Z$13,$Z$3,$AK$3)))</f>
        <v>0</v>
      </c>
      <c r="L52" s="24" t="n">
        <f aca="false">L51+1</f>
        <v>37</v>
      </c>
      <c r="M52" s="24" t="str">
        <f aca="false">IF(L52&gt;=$O$7,"",IF($O$9-$O$8+1&lt;=$O$7,IF($O$8+L52&lt;=$O$9,$O$8+L52,""),IF(L52&lt;$O$10,$O$8+L52,ROUND($O$11*$O$12^(L52-$O$10+1),0))))</f>
        <v/>
      </c>
      <c r="N52" s="24" t="str">
        <f aca="false">IF(M52="","",M52-M51)</f>
        <v/>
      </c>
      <c r="O52" s="13" t="str">
        <f aca="false">IF(M52="","",SQRT(M52*2^$O$4))</f>
        <v/>
      </c>
      <c r="Q52" s="25" t="n">
        <v>38</v>
      </c>
      <c r="R52" s="25" t="n">
        <f aca="false">$O$8+Q52-1</f>
        <v>38</v>
      </c>
      <c r="S52" s="26" t="str">
        <f aca="false">IF(Q52&lt;=$O$7-1,($O$9/R52)^(1/($O$7-Q52)),"")</f>
        <v/>
      </c>
      <c r="T52" s="25" t="n">
        <f aca="false">IF(S52="",0,IF(R52*(S52-1)&gt;=1,1,0))</f>
        <v>0</v>
      </c>
      <c r="W52" s="24" t="n">
        <f aca="false">W51+1</f>
        <v>37</v>
      </c>
      <c r="X52" s="24" t="str">
        <f aca="false">IF(W52&gt;=$Z$7,"",IF($Z$9-$Z$8+1&lt;=$Z$7,IF($Z$8+W52&lt;=$Z$9,$Z$8+W52,""),IF(W52&lt;$Z$10,$Z$8+W52,ROUND($Z$11*$Z$12^(W52-$Z$10+1),0))))</f>
        <v/>
      </c>
      <c r="Y52" s="24" t="str">
        <f aca="false">IF(X52="","",X52-X51)</f>
        <v/>
      </c>
      <c r="Z52" s="13" t="str">
        <f aca="false">IF(X52="","",SQRT(X52*2^$Z$4))</f>
        <v/>
      </c>
      <c r="AB52" s="25" t="n">
        <v>38</v>
      </c>
      <c r="AC52" s="25" t="n">
        <f aca="false">$Z$8+AB52-1</f>
        <v>41</v>
      </c>
      <c r="AD52" s="26" t="str">
        <f aca="false">IF(AB52&lt;=$Z$7-1,($Z$9/AC52)^(1/($Z$7-AB52)),"")</f>
        <v/>
      </c>
      <c r="AE52" s="25" t="n">
        <f aca="false">IF(AD52="",0,IF(AC52*(AD52-1)&gt;=1,1,0))</f>
        <v>0</v>
      </c>
      <c r="AH52" s="24" t="n">
        <f aca="false">AH51+1</f>
        <v>37</v>
      </c>
      <c r="AI52" s="24" t="str">
        <f aca="false">IF(AH52&gt;=$AK$7,"",IF($AK$9-$AK$8+1&lt;=$AK$7,IF($AK$8+AH52&lt;=$AK$9,$AK$8+AH52,""),IF(AH52&lt;$AK$10,$AK$8+AH52,ROUND($AK$11*$AK$12^(AH52-$AK$10+1),0))))</f>
        <v/>
      </c>
      <c r="AJ52" s="24" t="str">
        <f aca="false">IF(AI52="","",AI52-AI51)</f>
        <v/>
      </c>
      <c r="AK52" s="13" t="str">
        <f aca="false">IF(AI52="","",SQRT(AI52*2^$AK$4))</f>
        <v/>
      </c>
      <c r="AM52" s="25" t="n">
        <v>38</v>
      </c>
      <c r="AN52" s="25" t="n">
        <f aca="false">$AK$8+AM52-1</f>
        <v>41</v>
      </c>
      <c r="AO52" s="26" t="str">
        <f aca="false">IF(AM52&lt;=$AK$7-1,($AK$9/AN52)^(1/($AK$7-AM52)),"")</f>
        <v/>
      </c>
      <c r="AP52" s="25" t="n">
        <f aca="false">IF(AO52="",0,IF(AN52*(AO52-1)&gt;=1,1,0))</f>
        <v>0</v>
      </c>
    </row>
    <row r="53" customFormat="false" ht="15" hidden="false" customHeight="false" outlineLevel="0" collapsed="false">
      <c r="A53" s="13" t="n">
        <f aca="false">IF(B53="","",$J$11-J53)</f>
        <v>2</v>
      </c>
      <c r="B53" s="21" t="n">
        <f aca="false">IF(38&lt;$O$13,INDEX($M$15:$M$74,39),IF(38&lt;$O$13+$Z$13,INDEX($X$15:$X$74,38-$O$13+1),IF(38&lt;$O$13+$Z$13+$AK$13,INDEX($AI$15:$AI$74,38-$O$13-$Z$13+1),"")))</f>
        <v>16</v>
      </c>
      <c r="C53" s="22"/>
      <c r="D53" s="22"/>
      <c r="E53" s="22"/>
      <c r="F53" s="22"/>
      <c r="G53" s="22"/>
      <c r="H53" s="22"/>
      <c r="I53" s="23" t="n">
        <f aca="false">IF(B53="",0,SQRT(B53*2^N(A53)))</f>
        <v>8</v>
      </c>
      <c r="J53" s="12" t="n">
        <f aca="false">IF(B53="","",IF(38&lt;$O$13,$O$3,IF(38&lt;$O$13+$Z$13,$Z$3,$AK$3)))</f>
        <v>0</v>
      </c>
      <c r="L53" s="24" t="n">
        <f aca="false">L52+1</f>
        <v>38</v>
      </c>
      <c r="M53" s="24" t="str">
        <f aca="false">IF(L53&gt;=$O$7,"",IF($O$9-$O$8+1&lt;=$O$7,IF($O$8+L53&lt;=$O$9,$O$8+L53,""),IF(L53&lt;$O$10,$O$8+L53,ROUND($O$11*$O$12^(L53-$O$10+1),0))))</f>
        <v/>
      </c>
      <c r="N53" s="24" t="str">
        <f aca="false">IF(M53="","",M53-M52)</f>
        <v/>
      </c>
      <c r="O53" s="13" t="str">
        <f aca="false">IF(M53="","",SQRT(M53*2^$O$4))</f>
        <v/>
      </c>
      <c r="Q53" s="25" t="n">
        <v>39</v>
      </c>
      <c r="R53" s="25" t="n">
        <f aca="false">$O$8+Q53-1</f>
        <v>39</v>
      </c>
      <c r="S53" s="26" t="str">
        <f aca="false">IF(Q53&lt;=$O$7-1,($O$9/R53)^(1/($O$7-Q53)),"")</f>
        <v/>
      </c>
      <c r="T53" s="25" t="n">
        <f aca="false">IF(S53="",0,IF(R53*(S53-1)&gt;=1,1,0))</f>
        <v>0</v>
      </c>
      <c r="W53" s="24" t="n">
        <f aca="false">W52+1</f>
        <v>38</v>
      </c>
      <c r="X53" s="24" t="str">
        <f aca="false">IF(W53&gt;=$Z$7,"",IF($Z$9-$Z$8+1&lt;=$Z$7,IF($Z$8+W53&lt;=$Z$9,$Z$8+W53,""),IF(W53&lt;$Z$10,$Z$8+W53,ROUND($Z$11*$Z$12^(W53-$Z$10+1),0))))</f>
        <v/>
      </c>
      <c r="Y53" s="24" t="str">
        <f aca="false">IF(X53="","",X53-X52)</f>
        <v/>
      </c>
      <c r="Z53" s="13" t="str">
        <f aca="false">IF(X53="","",SQRT(X53*2^$Z$4))</f>
        <v/>
      </c>
      <c r="AB53" s="25" t="n">
        <v>39</v>
      </c>
      <c r="AC53" s="25" t="n">
        <f aca="false">$Z$8+AB53-1</f>
        <v>42</v>
      </c>
      <c r="AD53" s="26" t="str">
        <f aca="false">IF(AB53&lt;=$Z$7-1,($Z$9/AC53)^(1/($Z$7-AB53)),"")</f>
        <v/>
      </c>
      <c r="AE53" s="25" t="n">
        <f aca="false">IF(AD53="",0,IF(AC53*(AD53-1)&gt;=1,1,0))</f>
        <v>0</v>
      </c>
      <c r="AH53" s="24" t="n">
        <f aca="false">AH52+1</f>
        <v>38</v>
      </c>
      <c r="AI53" s="24" t="str">
        <f aca="false">IF(AH53&gt;=$AK$7,"",IF($AK$9-$AK$8+1&lt;=$AK$7,IF($AK$8+AH53&lt;=$AK$9,$AK$8+AH53,""),IF(AH53&lt;$AK$10,$AK$8+AH53,ROUND($AK$11*$AK$12^(AH53-$AK$10+1),0))))</f>
        <v/>
      </c>
      <c r="AJ53" s="24" t="str">
        <f aca="false">IF(AI53="","",AI53-AI52)</f>
        <v/>
      </c>
      <c r="AK53" s="13" t="str">
        <f aca="false">IF(AI53="","",SQRT(AI53*2^$AK$4))</f>
        <v/>
      </c>
      <c r="AM53" s="25" t="n">
        <v>39</v>
      </c>
      <c r="AN53" s="25" t="n">
        <f aca="false">$AK$8+AM53-1</f>
        <v>42</v>
      </c>
      <c r="AO53" s="26" t="str">
        <f aca="false">IF(AM53&lt;=$AK$7-1,($AK$9/AN53)^(1/($AK$7-AM53)),"")</f>
        <v/>
      </c>
      <c r="AP53" s="25" t="n">
        <f aca="false">IF(AO53="",0,IF(AN53*(AO53-1)&gt;=1,1,0))</f>
        <v>0</v>
      </c>
    </row>
    <row r="54" customFormat="false" ht="15" hidden="false" customHeight="false" outlineLevel="0" collapsed="false">
      <c r="A54" s="13" t="str">
        <f aca="false">IF(B54="","",$J$11-J54)</f>
        <v/>
      </c>
      <c r="B54" s="22" t="str">
        <f aca="false">IF(39&lt;$O$13,INDEX($M$15:$M$74,40),IF(39&lt;$O$13+$Z$13,INDEX($X$15:$X$74,39-$O$13+1),IF(39&lt;$O$13+$Z$13+$AK$13,INDEX($AI$15:$AI$74,39-$O$13-$Z$13+1),"")))</f>
        <v/>
      </c>
      <c r="C54" s="22"/>
      <c r="D54" s="22"/>
      <c r="E54" s="22"/>
      <c r="F54" s="22"/>
      <c r="G54" s="22"/>
      <c r="H54" s="22"/>
      <c r="I54" s="23" t="n">
        <f aca="false">IF(B54="",0,SQRT(B54*2^N(A54)))</f>
        <v>0</v>
      </c>
      <c r="J54" s="12" t="str">
        <f aca="false">IF(B54="","",IF(39&lt;$O$13,$O$3,IF(39&lt;$O$13+$Z$13,$Z$3,$AK$3)))</f>
        <v/>
      </c>
      <c r="L54" s="24" t="n">
        <f aca="false">L53+1</f>
        <v>39</v>
      </c>
      <c r="M54" s="24" t="str">
        <f aca="false">IF(L54&gt;=$O$7,"",IF($O$9-$O$8+1&lt;=$O$7,IF($O$8+L54&lt;=$O$9,$O$8+L54,""),IF(L54&lt;$O$10,$O$8+L54,ROUND($O$11*$O$12^(L54-$O$10+1),0))))</f>
        <v/>
      </c>
      <c r="N54" s="24" t="str">
        <f aca="false">IF(M54="","",M54-M53)</f>
        <v/>
      </c>
      <c r="O54" s="13" t="str">
        <f aca="false">IF(M54="","",SQRT(M54*2^$O$4))</f>
        <v/>
      </c>
      <c r="Q54" s="25" t="n">
        <v>40</v>
      </c>
      <c r="R54" s="25" t="n">
        <f aca="false">$O$8+Q54-1</f>
        <v>40</v>
      </c>
      <c r="S54" s="26" t="str">
        <f aca="false">IF(Q54&lt;=$O$7-1,($O$9/R54)^(1/($O$7-Q54)),"")</f>
        <v/>
      </c>
      <c r="T54" s="25" t="n">
        <f aca="false">IF(S54="",0,IF(R54*(S54-1)&gt;=1,1,0))</f>
        <v>0</v>
      </c>
      <c r="W54" s="24" t="n">
        <f aca="false">W53+1</f>
        <v>39</v>
      </c>
      <c r="X54" s="24" t="str">
        <f aca="false">IF(W54&gt;=$Z$7,"",IF($Z$9-$Z$8+1&lt;=$Z$7,IF($Z$8+W54&lt;=$Z$9,$Z$8+W54,""),IF(W54&lt;$Z$10,$Z$8+W54,ROUND($Z$11*$Z$12^(W54-$Z$10+1),0))))</f>
        <v/>
      </c>
      <c r="Y54" s="24" t="str">
        <f aca="false">IF(X54="","",X54-X53)</f>
        <v/>
      </c>
      <c r="Z54" s="13" t="str">
        <f aca="false">IF(X54="","",SQRT(X54*2^$Z$4))</f>
        <v/>
      </c>
      <c r="AB54" s="25" t="n">
        <v>40</v>
      </c>
      <c r="AC54" s="25" t="n">
        <f aca="false">$Z$8+AB54-1</f>
        <v>43</v>
      </c>
      <c r="AD54" s="26" t="str">
        <f aca="false">IF(AB54&lt;=$Z$7-1,($Z$9/AC54)^(1/($Z$7-AB54)),"")</f>
        <v/>
      </c>
      <c r="AE54" s="25" t="n">
        <f aca="false">IF(AD54="",0,IF(AC54*(AD54-1)&gt;=1,1,0))</f>
        <v>0</v>
      </c>
      <c r="AH54" s="24" t="n">
        <f aca="false">AH53+1</f>
        <v>39</v>
      </c>
      <c r="AI54" s="24" t="str">
        <f aca="false">IF(AH54&gt;=$AK$7,"",IF($AK$9-$AK$8+1&lt;=$AK$7,IF($AK$8+AH54&lt;=$AK$9,$AK$8+AH54,""),IF(AH54&lt;$AK$10,$AK$8+AH54,ROUND($AK$11*$AK$12^(AH54-$AK$10+1),0))))</f>
        <v/>
      </c>
      <c r="AJ54" s="24" t="str">
        <f aca="false">IF(AI54="","",AI54-AI53)</f>
        <v/>
      </c>
      <c r="AK54" s="13" t="str">
        <f aca="false">IF(AI54="","",SQRT(AI54*2^$AK$4))</f>
        <v/>
      </c>
      <c r="AM54" s="25" t="n">
        <v>40</v>
      </c>
      <c r="AN54" s="25" t="n">
        <f aca="false">$AK$8+AM54-1</f>
        <v>43</v>
      </c>
      <c r="AO54" s="26" t="str">
        <f aca="false">IF(AM54&lt;=$AK$7-1,($AK$9/AN54)^(1/($AK$7-AM54)),"")</f>
        <v/>
      </c>
      <c r="AP54" s="25" t="n">
        <f aca="false">IF(AO54="",0,IF(AN54*(AO54-1)&gt;=1,1,0))</f>
        <v>0</v>
      </c>
    </row>
    <row r="55" customFormat="false" ht="15" hidden="false" customHeight="false" outlineLevel="0" collapsed="false">
      <c r="A55" s="13" t="str">
        <f aca="false">IF(B55="","",$J$11-J55)</f>
        <v/>
      </c>
      <c r="B55" s="22" t="str">
        <f aca="false">IF(40&lt;$O$13,INDEX($M$15:$M$74,41),IF(40&lt;$O$13+$Z$13,INDEX($X$15:$X$74,40-$O$13+1),IF(40&lt;$O$13+$Z$13+$AK$13,INDEX($AI$15:$AI$74,40-$O$13-$Z$13+1),"")))</f>
        <v/>
      </c>
      <c r="C55" s="22"/>
      <c r="D55" s="22"/>
      <c r="E55" s="22"/>
      <c r="F55" s="22"/>
      <c r="G55" s="22"/>
      <c r="H55" s="22"/>
      <c r="I55" s="23" t="n">
        <f aca="false">IF(B55="",0,SQRT(B55*2^N(A55)))</f>
        <v>0</v>
      </c>
      <c r="J55" s="12" t="str">
        <f aca="false">IF(B55="","",IF(40&lt;$O$13,$O$3,IF(40&lt;$O$13+$Z$13,$Z$3,$AK$3)))</f>
        <v/>
      </c>
      <c r="L55" s="24" t="n">
        <f aca="false">L54+1</f>
        <v>40</v>
      </c>
      <c r="M55" s="24" t="str">
        <f aca="false">IF(L55&gt;=$O$7,"",IF($O$9-$O$8+1&lt;=$O$7,IF($O$8+L55&lt;=$O$9,$O$8+L55,""),IF(L55&lt;$O$10,$O$8+L55,ROUND($O$11*$O$12^(L55-$O$10+1),0))))</f>
        <v/>
      </c>
      <c r="N55" s="24" t="str">
        <f aca="false">IF(M55="","",M55-M54)</f>
        <v/>
      </c>
      <c r="O55" s="13" t="str">
        <f aca="false">IF(M55="","",SQRT(M55*2^$O$4))</f>
        <v/>
      </c>
      <c r="Q55" s="25" t="n">
        <v>41</v>
      </c>
      <c r="R55" s="25" t="n">
        <f aca="false">$O$8+Q55-1</f>
        <v>41</v>
      </c>
      <c r="S55" s="26" t="str">
        <f aca="false">IF(Q55&lt;=$O$7-1,($O$9/R55)^(1/($O$7-Q55)),"")</f>
        <v/>
      </c>
      <c r="T55" s="25" t="n">
        <f aca="false">IF(S55="",0,IF(R55*(S55-1)&gt;=1,1,0))</f>
        <v>0</v>
      </c>
      <c r="W55" s="24" t="n">
        <f aca="false">W54+1</f>
        <v>40</v>
      </c>
      <c r="X55" s="24" t="str">
        <f aca="false">IF(W55&gt;=$Z$7,"",IF($Z$9-$Z$8+1&lt;=$Z$7,IF($Z$8+W55&lt;=$Z$9,$Z$8+W55,""),IF(W55&lt;$Z$10,$Z$8+W55,ROUND($Z$11*$Z$12^(W55-$Z$10+1),0))))</f>
        <v/>
      </c>
      <c r="Y55" s="24" t="str">
        <f aca="false">IF(X55="","",X55-X54)</f>
        <v/>
      </c>
      <c r="Z55" s="13" t="str">
        <f aca="false">IF(X55="","",SQRT(X55*2^$Z$4))</f>
        <v/>
      </c>
      <c r="AB55" s="25" t="n">
        <v>41</v>
      </c>
      <c r="AC55" s="25" t="n">
        <f aca="false">$Z$8+AB55-1</f>
        <v>44</v>
      </c>
      <c r="AD55" s="26" t="str">
        <f aca="false">IF(AB55&lt;=$Z$7-1,($Z$9/AC55)^(1/($Z$7-AB55)),"")</f>
        <v/>
      </c>
      <c r="AE55" s="25" t="n">
        <f aca="false">IF(AD55="",0,IF(AC55*(AD55-1)&gt;=1,1,0))</f>
        <v>0</v>
      </c>
      <c r="AH55" s="24" t="n">
        <f aca="false">AH54+1</f>
        <v>40</v>
      </c>
      <c r="AI55" s="24" t="str">
        <f aca="false">IF(AH55&gt;=$AK$7,"",IF($AK$9-$AK$8+1&lt;=$AK$7,IF($AK$8+AH55&lt;=$AK$9,$AK$8+AH55,""),IF(AH55&lt;$AK$10,$AK$8+AH55,ROUND($AK$11*$AK$12^(AH55-$AK$10+1),0))))</f>
        <v/>
      </c>
      <c r="AJ55" s="24" t="str">
        <f aca="false">IF(AI55="","",AI55-AI54)</f>
        <v/>
      </c>
      <c r="AK55" s="13" t="str">
        <f aca="false">IF(AI55="","",SQRT(AI55*2^$AK$4))</f>
        <v/>
      </c>
      <c r="AM55" s="25" t="n">
        <v>41</v>
      </c>
      <c r="AN55" s="25" t="n">
        <f aca="false">$AK$8+AM55-1</f>
        <v>44</v>
      </c>
      <c r="AO55" s="26" t="str">
        <f aca="false">IF(AM55&lt;=$AK$7-1,($AK$9/AN55)^(1/($AK$7-AM55)),"")</f>
        <v/>
      </c>
      <c r="AP55" s="25" t="n">
        <f aca="false">IF(AO55="",0,IF(AN55*(AO55-1)&gt;=1,1,0))</f>
        <v>0</v>
      </c>
    </row>
    <row r="56" customFormat="false" ht="15" hidden="false" customHeight="false" outlineLevel="0" collapsed="false">
      <c r="A56" s="13" t="str">
        <f aca="false">IF(B56="","",$J$11-J56)</f>
        <v/>
      </c>
      <c r="B56" s="22" t="str">
        <f aca="false">IF(41&lt;$O$13,INDEX($M$15:$M$74,42),IF(41&lt;$O$13+$Z$13,INDEX($X$15:$X$74,41-$O$13+1),IF(41&lt;$O$13+$Z$13+$AK$13,INDEX($AI$15:$AI$74,41-$O$13-$Z$13+1),"")))</f>
        <v/>
      </c>
      <c r="C56" s="22"/>
      <c r="D56" s="22"/>
      <c r="E56" s="22"/>
      <c r="F56" s="22"/>
      <c r="G56" s="22"/>
      <c r="H56" s="22"/>
      <c r="I56" s="23" t="n">
        <f aca="false">IF(B56="",0,SQRT(B56*2^N(A56)))</f>
        <v>0</v>
      </c>
      <c r="J56" s="12" t="str">
        <f aca="false">IF(B56="","",IF(41&lt;$O$13,$O$3,IF(41&lt;$O$13+$Z$13,$Z$3,$AK$3)))</f>
        <v/>
      </c>
      <c r="L56" s="24" t="n">
        <f aca="false">L55+1</f>
        <v>41</v>
      </c>
      <c r="M56" s="24" t="str">
        <f aca="false">IF(L56&gt;=$O$7,"",IF($O$9-$O$8+1&lt;=$O$7,IF($O$8+L56&lt;=$O$9,$O$8+L56,""),IF(L56&lt;$O$10,$O$8+L56,ROUND($O$11*$O$12^(L56-$O$10+1),0))))</f>
        <v/>
      </c>
      <c r="N56" s="24" t="str">
        <f aca="false">IF(M56="","",M56-M55)</f>
        <v/>
      </c>
      <c r="O56" s="13" t="str">
        <f aca="false">IF(M56="","",SQRT(M56*2^$O$4))</f>
        <v/>
      </c>
      <c r="Q56" s="25" t="n">
        <v>42</v>
      </c>
      <c r="R56" s="25" t="n">
        <f aca="false">$O$8+Q56-1</f>
        <v>42</v>
      </c>
      <c r="S56" s="26" t="str">
        <f aca="false">IF(Q56&lt;=$O$7-1,($O$9/R56)^(1/($O$7-Q56)),"")</f>
        <v/>
      </c>
      <c r="T56" s="25" t="n">
        <f aca="false">IF(S56="",0,IF(R56*(S56-1)&gt;=1,1,0))</f>
        <v>0</v>
      </c>
      <c r="W56" s="24" t="n">
        <f aca="false">W55+1</f>
        <v>41</v>
      </c>
      <c r="X56" s="24" t="str">
        <f aca="false">IF(W56&gt;=$Z$7,"",IF($Z$9-$Z$8+1&lt;=$Z$7,IF($Z$8+W56&lt;=$Z$9,$Z$8+W56,""),IF(W56&lt;$Z$10,$Z$8+W56,ROUND($Z$11*$Z$12^(W56-$Z$10+1),0))))</f>
        <v/>
      </c>
      <c r="Y56" s="24" t="str">
        <f aca="false">IF(X56="","",X56-X55)</f>
        <v/>
      </c>
      <c r="Z56" s="13" t="str">
        <f aca="false">IF(X56="","",SQRT(X56*2^$Z$4))</f>
        <v/>
      </c>
      <c r="AB56" s="25" t="n">
        <v>42</v>
      </c>
      <c r="AC56" s="25" t="n">
        <f aca="false">$Z$8+AB56-1</f>
        <v>45</v>
      </c>
      <c r="AD56" s="26" t="str">
        <f aca="false">IF(AB56&lt;=$Z$7-1,($Z$9/AC56)^(1/($Z$7-AB56)),"")</f>
        <v/>
      </c>
      <c r="AE56" s="25" t="n">
        <f aca="false">IF(AD56="",0,IF(AC56*(AD56-1)&gt;=1,1,0))</f>
        <v>0</v>
      </c>
      <c r="AH56" s="24" t="n">
        <f aca="false">AH55+1</f>
        <v>41</v>
      </c>
      <c r="AI56" s="24" t="str">
        <f aca="false">IF(AH56&gt;=$AK$7,"",IF($AK$9-$AK$8+1&lt;=$AK$7,IF($AK$8+AH56&lt;=$AK$9,$AK$8+AH56,""),IF(AH56&lt;$AK$10,$AK$8+AH56,ROUND($AK$11*$AK$12^(AH56-$AK$10+1),0))))</f>
        <v/>
      </c>
      <c r="AJ56" s="24" t="str">
        <f aca="false">IF(AI56="","",AI56-AI55)</f>
        <v/>
      </c>
      <c r="AK56" s="13" t="str">
        <f aca="false">IF(AI56="","",SQRT(AI56*2^$AK$4))</f>
        <v/>
      </c>
      <c r="AM56" s="25" t="n">
        <v>42</v>
      </c>
      <c r="AN56" s="25" t="n">
        <f aca="false">$AK$8+AM56-1</f>
        <v>45</v>
      </c>
      <c r="AO56" s="26" t="str">
        <f aca="false">IF(AM56&lt;=$AK$7-1,($AK$9/AN56)^(1/($AK$7-AM56)),"")</f>
        <v/>
      </c>
      <c r="AP56" s="25" t="n">
        <f aca="false">IF(AO56="",0,IF(AN56*(AO56-1)&gt;=1,1,0))</f>
        <v>0</v>
      </c>
    </row>
    <row r="57" customFormat="false" ht="15" hidden="false" customHeight="false" outlineLevel="0" collapsed="false">
      <c r="A57" s="13" t="str">
        <f aca="false">IF(B57="","",$J$11-J57)</f>
        <v/>
      </c>
      <c r="B57" s="22" t="str">
        <f aca="false">IF(42&lt;$O$13,INDEX($M$15:$M$74,43),IF(42&lt;$O$13+$Z$13,INDEX($X$15:$X$74,42-$O$13+1),IF(42&lt;$O$13+$Z$13+$AK$13,INDEX($AI$15:$AI$74,42-$O$13-$Z$13+1),"")))</f>
        <v/>
      </c>
      <c r="C57" s="22"/>
      <c r="D57" s="22"/>
      <c r="E57" s="22"/>
      <c r="F57" s="22"/>
      <c r="G57" s="22"/>
      <c r="H57" s="22"/>
      <c r="I57" s="23" t="n">
        <f aca="false">IF(B57="",0,SQRT(B57*2^N(A57)))</f>
        <v>0</v>
      </c>
      <c r="J57" s="12" t="str">
        <f aca="false">IF(B57="","",IF(42&lt;$O$13,$O$3,IF(42&lt;$O$13+$Z$13,$Z$3,$AK$3)))</f>
        <v/>
      </c>
      <c r="L57" s="24" t="n">
        <f aca="false">L56+1</f>
        <v>42</v>
      </c>
      <c r="M57" s="24" t="str">
        <f aca="false">IF(L57&gt;=$O$7,"",IF($O$9-$O$8+1&lt;=$O$7,IF($O$8+L57&lt;=$O$9,$O$8+L57,""),IF(L57&lt;$O$10,$O$8+L57,ROUND($O$11*$O$12^(L57-$O$10+1),0))))</f>
        <v/>
      </c>
      <c r="N57" s="24" t="str">
        <f aca="false">IF(M57="","",M57-M56)</f>
        <v/>
      </c>
      <c r="O57" s="13" t="str">
        <f aca="false">IF(M57="","",SQRT(M57*2^$O$4))</f>
        <v/>
      </c>
      <c r="Q57" s="25" t="n">
        <v>43</v>
      </c>
      <c r="R57" s="25" t="n">
        <f aca="false">$O$8+Q57-1</f>
        <v>43</v>
      </c>
      <c r="S57" s="26" t="str">
        <f aca="false">IF(Q57&lt;=$O$7-1,($O$9/R57)^(1/($O$7-Q57)),"")</f>
        <v/>
      </c>
      <c r="T57" s="25" t="n">
        <f aca="false">IF(S57="",0,IF(R57*(S57-1)&gt;=1,1,0))</f>
        <v>0</v>
      </c>
      <c r="W57" s="24" t="n">
        <f aca="false">W56+1</f>
        <v>42</v>
      </c>
      <c r="X57" s="24" t="str">
        <f aca="false">IF(W57&gt;=$Z$7,"",IF($Z$9-$Z$8+1&lt;=$Z$7,IF($Z$8+W57&lt;=$Z$9,$Z$8+W57,""),IF(W57&lt;$Z$10,$Z$8+W57,ROUND($Z$11*$Z$12^(W57-$Z$10+1),0))))</f>
        <v/>
      </c>
      <c r="Y57" s="24" t="str">
        <f aca="false">IF(X57="","",X57-X56)</f>
        <v/>
      </c>
      <c r="Z57" s="13" t="str">
        <f aca="false">IF(X57="","",SQRT(X57*2^$Z$4))</f>
        <v/>
      </c>
      <c r="AB57" s="25" t="n">
        <v>43</v>
      </c>
      <c r="AC57" s="25" t="n">
        <f aca="false">$Z$8+AB57-1</f>
        <v>46</v>
      </c>
      <c r="AD57" s="26" t="str">
        <f aca="false">IF(AB57&lt;=$Z$7-1,($Z$9/AC57)^(1/($Z$7-AB57)),"")</f>
        <v/>
      </c>
      <c r="AE57" s="25" t="n">
        <f aca="false">IF(AD57="",0,IF(AC57*(AD57-1)&gt;=1,1,0))</f>
        <v>0</v>
      </c>
      <c r="AH57" s="24" t="n">
        <f aca="false">AH56+1</f>
        <v>42</v>
      </c>
      <c r="AI57" s="24" t="str">
        <f aca="false">IF(AH57&gt;=$AK$7,"",IF($AK$9-$AK$8+1&lt;=$AK$7,IF($AK$8+AH57&lt;=$AK$9,$AK$8+AH57,""),IF(AH57&lt;$AK$10,$AK$8+AH57,ROUND($AK$11*$AK$12^(AH57-$AK$10+1),0))))</f>
        <v/>
      </c>
      <c r="AJ57" s="24" t="str">
        <f aca="false">IF(AI57="","",AI57-AI56)</f>
        <v/>
      </c>
      <c r="AK57" s="13" t="str">
        <f aca="false">IF(AI57="","",SQRT(AI57*2^$AK$4))</f>
        <v/>
      </c>
      <c r="AM57" s="25" t="n">
        <v>43</v>
      </c>
      <c r="AN57" s="25" t="n">
        <f aca="false">$AK$8+AM57-1</f>
        <v>46</v>
      </c>
      <c r="AO57" s="26" t="str">
        <f aca="false">IF(AM57&lt;=$AK$7-1,($AK$9/AN57)^(1/($AK$7-AM57)),"")</f>
        <v/>
      </c>
      <c r="AP57" s="25" t="n">
        <f aca="false">IF(AO57="",0,IF(AN57*(AO57-1)&gt;=1,1,0))</f>
        <v>0</v>
      </c>
    </row>
    <row r="58" customFormat="false" ht="15" hidden="false" customHeight="false" outlineLevel="0" collapsed="false">
      <c r="A58" s="13" t="str">
        <f aca="false">IF(B58="","",$J$11-J58)</f>
        <v/>
      </c>
      <c r="B58" s="22" t="str">
        <f aca="false">IF(43&lt;$O$13,INDEX($M$15:$M$74,44),IF(43&lt;$O$13+$Z$13,INDEX($X$15:$X$74,43-$O$13+1),IF(43&lt;$O$13+$Z$13+$AK$13,INDEX($AI$15:$AI$74,43-$O$13-$Z$13+1),"")))</f>
        <v/>
      </c>
      <c r="C58" s="22"/>
      <c r="D58" s="22"/>
      <c r="E58" s="22"/>
      <c r="F58" s="22"/>
      <c r="G58" s="22"/>
      <c r="H58" s="22"/>
      <c r="I58" s="23" t="n">
        <f aca="false">IF(B58="",0,SQRT(B58*2^N(A58)))</f>
        <v>0</v>
      </c>
      <c r="J58" s="12" t="str">
        <f aca="false">IF(B58="","",IF(43&lt;$O$13,$O$3,IF(43&lt;$O$13+$Z$13,$Z$3,$AK$3)))</f>
        <v/>
      </c>
      <c r="L58" s="24" t="n">
        <f aca="false">L57+1</f>
        <v>43</v>
      </c>
      <c r="M58" s="24" t="str">
        <f aca="false">IF(L58&gt;=$O$7,"",IF($O$9-$O$8+1&lt;=$O$7,IF($O$8+L58&lt;=$O$9,$O$8+L58,""),IF(L58&lt;$O$10,$O$8+L58,ROUND($O$11*$O$12^(L58-$O$10+1),0))))</f>
        <v/>
      </c>
      <c r="N58" s="24" t="str">
        <f aca="false">IF(M58="","",M58-M57)</f>
        <v/>
      </c>
      <c r="O58" s="13" t="str">
        <f aca="false">IF(M58="","",SQRT(M58*2^$O$4))</f>
        <v/>
      </c>
      <c r="Q58" s="25" t="n">
        <v>44</v>
      </c>
      <c r="R58" s="25" t="n">
        <f aca="false">$O$8+Q58-1</f>
        <v>44</v>
      </c>
      <c r="S58" s="26" t="str">
        <f aca="false">IF(Q58&lt;=$O$7-1,($O$9/R58)^(1/($O$7-Q58)),"")</f>
        <v/>
      </c>
      <c r="T58" s="25" t="n">
        <f aca="false">IF(S58="",0,IF(R58*(S58-1)&gt;=1,1,0))</f>
        <v>0</v>
      </c>
      <c r="W58" s="24" t="n">
        <f aca="false">W57+1</f>
        <v>43</v>
      </c>
      <c r="X58" s="24" t="str">
        <f aca="false">IF(W58&gt;=$Z$7,"",IF($Z$9-$Z$8+1&lt;=$Z$7,IF($Z$8+W58&lt;=$Z$9,$Z$8+W58,""),IF(W58&lt;$Z$10,$Z$8+W58,ROUND($Z$11*$Z$12^(W58-$Z$10+1),0))))</f>
        <v/>
      </c>
      <c r="Y58" s="24" t="str">
        <f aca="false">IF(X58="","",X58-X57)</f>
        <v/>
      </c>
      <c r="Z58" s="13" t="str">
        <f aca="false">IF(X58="","",SQRT(X58*2^$Z$4))</f>
        <v/>
      </c>
      <c r="AB58" s="25" t="n">
        <v>44</v>
      </c>
      <c r="AC58" s="25" t="n">
        <f aca="false">$Z$8+AB58-1</f>
        <v>47</v>
      </c>
      <c r="AD58" s="26" t="str">
        <f aca="false">IF(AB58&lt;=$Z$7-1,($Z$9/AC58)^(1/($Z$7-AB58)),"")</f>
        <v/>
      </c>
      <c r="AE58" s="25" t="n">
        <f aca="false">IF(AD58="",0,IF(AC58*(AD58-1)&gt;=1,1,0))</f>
        <v>0</v>
      </c>
      <c r="AH58" s="24" t="n">
        <f aca="false">AH57+1</f>
        <v>43</v>
      </c>
      <c r="AI58" s="24" t="str">
        <f aca="false">IF(AH58&gt;=$AK$7,"",IF($AK$9-$AK$8+1&lt;=$AK$7,IF($AK$8+AH58&lt;=$AK$9,$AK$8+AH58,""),IF(AH58&lt;$AK$10,$AK$8+AH58,ROUND($AK$11*$AK$12^(AH58-$AK$10+1),0))))</f>
        <v/>
      </c>
      <c r="AJ58" s="24" t="str">
        <f aca="false">IF(AI58="","",AI58-AI57)</f>
        <v/>
      </c>
      <c r="AK58" s="13" t="str">
        <f aca="false">IF(AI58="","",SQRT(AI58*2^$AK$4))</f>
        <v/>
      </c>
      <c r="AM58" s="25" t="n">
        <v>44</v>
      </c>
      <c r="AN58" s="25" t="n">
        <f aca="false">$AK$8+AM58-1</f>
        <v>47</v>
      </c>
      <c r="AO58" s="26" t="str">
        <f aca="false">IF(AM58&lt;=$AK$7-1,($AK$9/AN58)^(1/($AK$7-AM58)),"")</f>
        <v/>
      </c>
      <c r="AP58" s="25" t="n">
        <f aca="false">IF(AO58="",0,IF(AN58*(AO58-1)&gt;=1,1,0))</f>
        <v>0</v>
      </c>
    </row>
    <row r="59" customFormat="false" ht="15" hidden="false" customHeight="false" outlineLevel="0" collapsed="false">
      <c r="A59" s="13" t="str">
        <f aca="false">IF(B59="","",$J$11-J59)</f>
        <v/>
      </c>
      <c r="B59" s="22" t="str">
        <f aca="false">IF(44&lt;$O$13,INDEX($M$15:$M$74,45),IF(44&lt;$O$13+$Z$13,INDEX($X$15:$X$74,44-$O$13+1),IF(44&lt;$O$13+$Z$13+$AK$13,INDEX($AI$15:$AI$74,44-$O$13-$Z$13+1),"")))</f>
        <v/>
      </c>
      <c r="C59" s="22"/>
      <c r="D59" s="22"/>
      <c r="E59" s="22"/>
      <c r="F59" s="22"/>
      <c r="G59" s="22"/>
      <c r="H59" s="22"/>
      <c r="I59" s="23" t="n">
        <f aca="false">IF(B59="",0,SQRT(B59*2^N(A59)))</f>
        <v>0</v>
      </c>
      <c r="J59" s="12" t="str">
        <f aca="false">IF(B59="","",IF(44&lt;$O$13,$O$3,IF(44&lt;$O$13+$Z$13,$Z$3,$AK$3)))</f>
        <v/>
      </c>
      <c r="L59" s="24" t="n">
        <f aca="false">L58+1</f>
        <v>44</v>
      </c>
      <c r="M59" s="24" t="str">
        <f aca="false">IF(L59&gt;=$O$7,"",IF($O$9-$O$8+1&lt;=$O$7,IF($O$8+L59&lt;=$O$9,$O$8+L59,""),IF(L59&lt;$O$10,$O$8+L59,ROUND($O$11*$O$12^(L59-$O$10+1),0))))</f>
        <v/>
      </c>
      <c r="N59" s="24" t="str">
        <f aca="false">IF(M59="","",M59-M58)</f>
        <v/>
      </c>
      <c r="O59" s="13" t="str">
        <f aca="false">IF(M59="","",SQRT(M59*2^$O$4))</f>
        <v/>
      </c>
      <c r="Q59" s="25" t="n">
        <v>45</v>
      </c>
      <c r="R59" s="25" t="n">
        <f aca="false">$O$8+Q59-1</f>
        <v>45</v>
      </c>
      <c r="S59" s="26" t="str">
        <f aca="false">IF(Q59&lt;=$O$7-1,($O$9/R59)^(1/($O$7-Q59)),"")</f>
        <v/>
      </c>
      <c r="T59" s="25" t="n">
        <f aca="false">IF(S59="",0,IF(R59*(S59-1)&gt;=1,1,0))</f>
        <v>0</v>
      </c>
      <c r="W59" s="24" t="n">
        <f aca="false">W58+1</f>
        <v>44</v>
      </c>
      <c r="X59" s="24" t="str">
        <f aca="false">IF(W59&gt;=$Z$7,"",IF($Z$9-$Z$8+1&lt;=$Z$7,IF($Z$8+W59&lt;=$Z$9,$Z$8+W59,""),IF(W59&lt;$Z$10,$Z$8+W59,ROUND($Z$11*$Z$12^(W59-$Z$10+1),0))))</f>
        <v/>
      </c>
      <c r="Y59" s="24" t="str">
        <f aca="false">IF(X59="","",X59-X58)</f>
        <v/>
      </c>
      <c r="Z59" s="13" t="str">
        <f aca="false">IF(X59="","",SQRT(X59*2^$Z$4))</f>
        <v/>
      </c>
      <c r="AB59" s="25" t="n">
        <v>45</v>
      </c>
      <c r="AC59" s="25" t="n">
        <f aca="false">$Z$8+AB59-1</f>
        <v>48</v>
      </c>
      <c r="AD59" s="26" t="str">
        <f aca="false">IF(AB59&lt;=$Z$7-1,($Z$9/AC59)^(1/($Z$7-AB59)),"")</f>
        <v/>
      </c>
      <c r="AE59" s="25" t="n">
        <f aca="false">IF(AD59="",0,IF(AC59*(AD59-1)&gt;=1,1,0))</f>
        <v>0</v>
      </c>
      <c r="AH59" s="24" t="n">
        <f aca="false">AH58+1</f>
        <v>44</v>
      </c>
      <c r="AI59" s="24" t="str">
        <f aca="false">IF(AH59&gt;=$AK$7,"",IF($AK$9-$AK$8+1&lt;=$AK$7,IF($AK$8+AH59&lt;=$AK$9,$AK$8+AH59,""),IF(AH59&lt;$AK$10,$AK$8+AH59,ROUND($AK$11*$AK$12^(AH59-$AK$10+1),0))))</f>
        <v/>
      </c>
      <c r="AJ59" s="24" t="str">
        <f aca="false">IF(AI59="","",AI59-AI58)</f>
        <v/>
      </c>
      <c r="AK59" s="13" t="str">
        <f aca="false">IF(AI59="","",SQRT(AI59*2^$AK$4))</f>
        <v/>
      </c>
      <c r="AM59" s="25" t="n">
        <v>45</v>
      </c>
      <c r="AN59" s="25" t="n">
        <f aca="false">$AK$8+AM59-1</f>
        <v>48</v>
      </c>
      <c r="AO59" s="26" t="str">
        <f aca="false">IF(AM59&lt;=$AK$7-1,($AK$9/AN59)^(1/($AK$7-AM59)),"")</f>
        <v/>
      </c>
      <c r="AP59" s="25" t="n">
        <f aca="false">IF(AO59="",0,IF(AN59*(AO59-1)&gt;=1,1,0))</f>
        <v>0</v>
      </c>
    </row>
    <row r="60" customFormat="false" ht="15" hidden="false" customHeight="false" outlineLevel="0" collapsed="false">
      <c r="A60" s="13" t="str">
        <f aca="false">IF(B60="","",$J$11-J60)</f>
        <v/>
      </c>
      <c r="B60" s="22" t="str">
        <f aca="false">IF(45&lt;$O$13,INDEX($M$15:$M$74,46),IF(45&lt;$O$13+$Z$13,INDEX($X$15:$X$74,45-$O$13+1),IF(45&lt;$O$13+$Z$13+$AK$13,INDEX($AI$15:$AI$74,45-$O$13-$Z$13+1),"")))</f>
        <v/>
      </c>
      <c r="C60" s="22"/>
      <c r="D60" s="22"/>
      <c r="E60" s="22"/>
      <c r="F60" s="22"/>
      <c r="G60" s="22"/>
      <c r="H60" s="22"/>
      <c r="I60" s="23" t="n">
        <f aca="false">IF(B60="",0,SQRT(B60*2^N(A60)))</f>
        <v>0</v>
      </c>
      <c r="J60" s="12" t="str">
        <f aca="false">IF(B60="","",IF(45&lt;$O$13,$O$3,IF(45&lt;$O$13+$Z$13,$Z$3,$AK$3)))</f>
        <v/>
      </c>
      <c r="L60" s="24" t="n">
        <f aca="false">L59+1</f>
        <v>45</v>
      </c>
      <c r="M60" s="24" t="str">
        <f aca="false">IF(L60&gt;=$O$7,"",IF($O$9-$O$8+1&lt;=$O$7,IF($O$8+L60&lt;=$O$9,$O$8+L60,""),IF(L60&lt;$O$10,$O$8+L60,ROUND($O$11*$O$12^(L60-$O$10+1),0))))</f>
        <v/>
      </c>
      <c r="N60" s="24" t="str">
        <f aca="false">IF(M60="","",M60-M59)</f>
        <v/>
      </c>
      <c r="O60" s="13" t="str">
        <f aca="false">IF(M60="","",SQRT(M60*2^$O$4))</f>
        <v/>
      </c>
      <c r="Q60" s="25" t="n">
        <v>46</v>
      </c>
      <c r="R60" s="25" t="n">
        <f aca="false">$O$8+Q60-1</f>
        <v>46</v>
      </c>
      <c r="S60" s="26" t="str">
        <f aca="false">IF(Q60&lt;=$O$7-1,($O$9/R60)^(1/($O$7-Q60)),"")</f>
        <v/>
      </c>
      <c r="T60" s="25" t="n">
        <f aca="false">IF(S60="",0,IF(R60*(S60-1)&gt;=1,1,0))</f>
        <v>0</v>
      </c>
      <c r="W60" s="24" t="n">
        <f aca="false">W59+1</f>
        <v>45</v>
      </c>
      <c r="X60" s="24" t="str">
        <f aca="false">IF(W60&gt;=$Z$7,"",IF($Z$9-$Z$8+1&lt;=$Z$7,IF($Z$8+W60&lt;=$Z$9,$Z$8+W60,""),IF(W60&lt;$Z$10,$Z$8+W60,ROUND($Z$11*$Z$12^(W60-$Z$10+1),0))))</f>
        <v/>
      </c>
      <c r="Y60" s="24" t="str">
        <f aca="false">IF(X60="","",X60-X59)</f>
        <v/>
      </c>
      <c r="Z60" s="13" t="str">
        <f aca="false">IF(X60="","",SQRT(X60*2^$Z$4))</f>
        <v/>
      </c>
      <c r="AB60" s="25" t="n">
        <v>46</v>
      </c>
      <c r="AC60" s="25" t="n">
        <f aca="false">$Z$8+AB60-1</f>
        <v>49</v>
      </c>
      <c r="AD60" s="26" t="str">
        <f aca="false">IF(AB60&lt;=$Z$7-1,($Z$9/AC60)^(1/($Z$7-AB60)),"")</f>
        <v/>
      </c>
      <c r="AE60" s="25" t="n">
        <f aca="false">IF(AD60="",0,IF(AC60*(AD60-1)&gt;=1,1,0))</f>
        <v>0</v>
      </c>
      <c r="AH60" s="24" t="n">
        <f aca="false">AH59+1</f>
        <v>45</v>
      </c>
      <c r="AI60" s="24" t="str">
        <f aca="false">IF(AH60&gt;=$AK$7,"",IF($AK$9-$AK$8+1&lt;=$AK$7,IF($AK$8+AH60&lt;=$AK$9,$AK$8+AH60,""),IF(AH60&lt;$AK$10,$AK$8+AH60,ROUND($AK$11*$AK$12^(AH60-$AK$10+1),0))))</f>
        <v/>
      </c>
      <c r="AJ60" s="24" t="str">
        <f aca="false">IF(AI60="","",AI60-AI59)</f>
        <v/>
      </c>
      <c r="AK60" s="13" t="str">
        <f aca="false">IF(AI60="","",SQRT(AI60*2^$AK$4))</f>
        <v/>
      </c>
      <c r="AM60" s="25" t="n">
        <v>46</v>
      </c>
      <c r="AN60" s="25" t="n">
        <f aca="false">$AK$8+AM60-1</f>
        <v>49</v>
      </c>
      <c r="AO60" s="26" t="str">
        <f aca="false">IF(AM60&lt;=$AK$7-1,($AK$9/AN60)^(1/($AK$7-AM60)),"")</f>
        <v/>
      </c>
      <c r="AP60" s="25" t="n">
        <f aca="false">IF(AO60="",0,IF(AN60*(AO60-1)&gt;=1,1,0))</f>
        <v>0</v>
      </c>
    </row>
    <row r="61" customFormat="false" ht="15" hidden="false" customHeight="false" outlineLevel="0" collapsed="false">
      <c r="A61" s="13" t="str">
        <f aca="false">IF(B61="","",$J$11-J61)</f>
        <v/>
      </c>
      <c r="B61" s="22" t="str">
        <f aca="false">IF(46&lt;$O$13,INDEX($M$15:$M$74,47),IF(46&lt;$O$13+$Z$13,INDEX($X$15:$X$74,46-$O$13+1),IF(46&lt;$O$13+$Z$13+$AK$13,INDEX($AI$15:$AI$74,46-$O$13-$Z$13+1),"")))</f>
        <v/>
      </c>
      <c r="C61" s="22"/>
      <c r="D61" s="22"/>
      <c r="E61" s="22"/>
      <c r="F61" s="22"/>
      <c r="G61" s="22"/>
      <c r="H61" s="22"/>
      <c r="I61" s="23" t="n">
        <f aca="false">IF(B61="",0,SQRT(B61*2^N(A61)))</f>
        <v>0</v>
      </c>
      <c r="J61" s="12" t="str">
        <f aca="false">IF(B61="","",IF(46&lt;$O$13,$O$3,IF(46&lt;$O$13+$Z$13,$Z$3,$AK$3)))</f>
        <v/>
      </c>
      <c r="L61" s="24" t="n">
        <f aca="false">L60+1</f>
        <v>46</v>
      </c>
      <c r="M61" s="24" t="str">
        <f aca="false">IF(L61&gt;=$O$7,"",IF($O$9-$O$8+1&lt;=$O$7,IF($O$8+L61&lt;=$O$9,$O$8+L61,""),IF(L61&lt;$O$10,$O$8+L61,ROUND($O$11*$O$12^(L61-$O$10+1),0))))</f>
        <v/>
      </c>
      <c r="N61" s="24" t="str">
        <f aca="false">IF(M61="","",M61-M60)</f>
        <v/>
      </c>
      <c r="O61" s="13" t="str">
        <f aca="false">IF(M61="","",SQRT(M61*2^$O$4))</f>
        <v/>
      </c>
      <c r="Q61" s="25" t="n">
        <v>47</v>
      </c>
      <c r="R61" s="25" t="n">
        <f aca="false">$O$8+Q61-1</f>
        <v>47</v>
      </c>
      <c r="S61" s="26" t="str">
        <f aca="false">IF(Q61&lt;=$O$7-1,($O$9/R61)^(1/($O$7-Q61)),"")</f>
        <v/>
      </c>
      <c r="T61" s="25" t="n">
        <f aca="false">IF(S61="",0,IF(R61*(S61-1)&gt;=1,1,0))</f>
        <v>0</v>
      </c>
      <c r="W61" s="24" t="n">
        <f aca="false">W60+1</f>
        <v>46</v>
      </c>
      <c r="X61" s="24" t="str">
        <f aca="false">IF(W61&gt;=$Z$7,"",IF($Z$9-$Z$8+1&lt;=$Z$7,IF($Z$8+W61&lt;=$Z$9,$Z$8+W61,""),IF(W61&lt;$Z$10,$Z$8+W61,ROUND($Z$11*$Z$12^(W61-$Z$10+1),0))))</f>
        <v/>
      </c>
      <c r="Y61" s="24" t="str">
        <f aca="false">IF(X61="","",X61-X60)</f>
        <v/>
      </c>
      <c r="Z61" s="13" t="str">
        <f aca="false">IF(X61="","",SQRT(X61*2^$Z$4))</f>
        <v/>
      </c>
      <c r="AB61" s="25" t="n">
        <v>47</v>
      </c>
      <c r="AC61" s="25" t="n">
        <f aca="false">$Z$8+AB61-1</f>
        <v>50</v>
      </c>
      <c r="AD61" s="26" t="str">
        <f aca="false">IF(AB61&lt;=$Z$7-1,($Z$9/AC61)^(1/($Z$7-AB61)),"")</f>
        <v/>
      </c>
      <c r="AE61" s="25" t="n">
        <f aca="false">IF(AD61="",0,IF(AC61*(AD61-1)&gt;=1,1,0))</f>
        <v>0</v>
      </c>
      <c r="AH61" s="24" t="n">
        <f aca="false">AH60+1</f>
        <v>46</v>
      </c>
      <c r="AI61" s="24" t="str">
        <f aca="false">IF(AH61&gt;=$AK$7,"",IF($AK$9-$AK$8+1&lt;=$AK$7,IF($AK$8+AH61&lt;=$AK$9,$AK$8+AH61,""),IF(AH61&lt;$AK$10,$AK$8+AH61,ROUND($AK$11*$AK$12^(AH61-$AK$10+1),0))))</f>
        <v/>
      </c>
      <c r="AJ61" s="24" t="str">
        <f aca="false">IF(AI61="","",AI61-AI60)</f>
        <v/>
      </c>
      <c r="AK61" s="13" t="str">
        <f aca="false">IF(AI61="","",SQRT(AI61*2^$AK$4))</f>
        <v/>
      </c>
      <c r="AM61" s="25" t="n">
        <v>47</v>
      </c>
      <c r="AN61" s="25" t="n">
        <f aca="false">$AK$8+AM61-1</f>
        <v>50</v>
      </c>
      <c r="AO61" s="26" t="str">
        <f aca="false">IF(AM61&lt;=$AK$7-1,($AK$9/AN61)^(1/($AK$7-AM61)),"")</f>
        <v/>
      </c>
      <c r="AP61" s="25" t="n">
        <f aca="false">IF(AO61="",0,IF(AN61*(AO61-1)&gt;=1,1,0))</f>
        <v>0</v>
      </c>
    </row>
    <row r="62" customFormat="false" ht="15" hidden="false" customHeight="false" outlineLevel="0" collapsed="false">
      <c r="A62" s="13" t="str">
        <f aca="false">IF(B62="","",$J$11-J62)</f>
        <v/>
      </c>
      <c r="B62" s="22" t="str">
        <f aca="false">IF(47&lt;$O$13,INDEX($M$15:$M$74,48),IF(47&lt;$O$13+$Z$13,INDEX($X$15:$X$74,47-$O$13+1),IF(47&lt;$O$13+$Z$13+$AK$13,INDEX($AI$15:$AI$74,47-$O$13-$Z$13+1),"")))</f>
        <v/>
      </c>
      <c r="C62" s="22"/>
      <c r="D62" s="22"/>
      <c r="E62" s="22"/>
      <c r="F62" s="22"/>
      <c r="G62" s="22"/>
      <c r="H62" s="22"/>
      <c r="I62" s="23" t="n">
        <f aca="false">IF(B62="",0,SQRT(B62*2^N(A62)))</f>
        <v>0</v>
      </c>
      <c r="J62" s="12" t="str">
        <f aca="false">IF(B62="","",IF(47&lt;$O$13,$O$3,IF(47&lt;$O$13+$Z$13,$Z$3,$AK$3)))</f>
        <v/>
      </c>
      <c r="L62" s="24" t="n">
        <f aca="false">L61+1</f>
        <v>47</v>
      </c>
      <c r="M62" s="24" t="str">
        <f aca="false">IF(L62&gt;=$O$7,"",IF($O$9-$O$8+1&lt;=$O$7,IF($O$8+L62&lt;=$O$9,$O$8+L62,""),IF(L62&lt;$O$10,$O$8+L62,ROUND($O$11*$O$12^(L62-$O$10+1),0))))</f>
        <v/>
      </c>
      <c r="N62" s="24" t="str">
        <f aca="false">IF(M62="","",M62-M61)</f>
        <v/>
      </c>
      <c r="O62" s="13" t="str">
        <f aca="false">IF(M62="","",SQRT(M62*2^$O$4))</f>
        <v/>
      </c>
      <c r="Q62" s="25" t="n">
        <v>48</v>
      </c>
      <c r="R62" s="25" t="n">
        <f aca="false">$O$8+Q62-1</f>
        <v>48</v>
      </c>
      <c r="S62" s="26" t="str">
        <f aca="false">IF(Q62&lt;=$O$7-1,($O$9/R62)^(1/($O$7-Q62)),"")</f>
        <v/>
      </c>
      <c r="T62" s="25" t="n">
        <f aca="false">IF(S62="",0,IF(R62*(S62-1)&gt;=1,1,0))</f>
        <v>0</v>
      </c>
      <c r="W62" s="24" t="n">
        <f aca="false">W61+1</f>
        <v>47</v>
      </c>
      <c r="X62" s="24" t="str">
        <f aca="false">IF(W62&gt;=$Z$7,"",IF($Z$9-$Z$8+1&lt;=$Z$7,IF($Z$8+W62&lt;=$Z$9,$Z$8+W62,""),IF(W62&lt;$Z$10,$Z$8+W62,ROUND($Z$11*$Z$12^(W62-$Z$10+1),0))))</f>
        <v/>
      </c>
      <c r="Y62" s="24" t="str">
        <f aca="false">IF(X62="","",X62-X61)</f>
        <v/>
      </c>
      <c r="Z62" s="13" t="str">
        <f aca="false">IF(X62="","",SQRT(X62*2^$Z$4))</f>
        <v/>
      </c>
      <c r="AB62" s="25" t="n">
        <v>48</v>
      </c>
      <c r="AC62" s="25" t="n">
        <f aca="false">$Z$8+AB62-1</f>
        <v>51</v>
      </c>
      <c r="AD62" s="26" t="str">
        <f aca="false">IF(AB62&lt;=$Z$7-1,($Z$9/AC62)^(1/($Z$7-AB62)),"")</f>
        <v/>
      </c>
      <c r="AE62" s="25" t="n">
        <f aca="false">IF(AD62="",0,IF(AC62*(AD62-1)&gt;=1,1,0))</f>
        <v>0</v>
      </c>
      <c r="AH62" s="24" t="n">
        <f aca="false">AH61+1</f>
        <v>47</v>
      </c>
      <c r="AI62" s="24" t="str">
        <f aca="false">IF(AH62&gt;=$AK$7,"",IF($AK$9-$AK$8+1&lt;=$AK$7,IF($AK$8+AH62&lt;=$AK$9,$AK$8+AH62,""),IF(AH62&lt;$AK$10,$AK$8+AH62,ROUND($AK$11*$AK$12^(AH62-$AK$10+1),0))))</f>
        <v/>
      </c>
      <c r="AJ62" s="24" t="str">
        <f aca="false">IF(AI62="","",AI62-AI61)</f>
        <v/>
      </c>
      <c r="AK62" s="13" t="str">
        <f aca="false">IF(AI62="","",SQRT(AI62*2^$AK$4))</f>
        <v/>
      </c>
      <c r="AM62" s="25" t="n">
        <v>48</v>
      </c>
      <c r="AN62" s="25" t="n">
        <f aca="false">$AK$8+AM62-1</f>
        <v>51</v>
      </c>
      <c r="AO62" s="26" t="str">
        <f aca="false">IF(AM62&lt;=$AK$7-1,($AK$9/AN62)^(1/($AK$7-AM62)),"")</f>
        <v/>
      </c>
      <c r="AP62" s="25" t="n">
        <f aca="false">IF(AO62="",0,IF(AN62*(AO62-1)&gt;=1,1,0))</f>
        <v>0</v>
      </c>
    </row>
    <row r="63" customFormat="false" ht="15" hidden="false" customHeight="false" outlineLevel="0" collapsed="false">
      <c r="A63" s="13" t="str">
        <f aca="false">IF(B63="","",$J$11-J63)</f>
        <v/>
      </c>
      <c r="B63" s="22" t="str">
        <f aca="false">IF(48&lt;$O$13,INDEX($M$15:$M$74,49),IF(48&lt;$O$13+$Z$13,INDEX($X$15:$X$74,48-$O$13+1),IF(48&lt;$O$13+$Z$13+$AK$13,INDEX($AI$15:$AI$74,48-$O$13-$Z$13+1),"")))</f>
        <v/>
      </c>
      <c r="C63" s="22"/>
      <c r="D63" s="22"/>
      <c r="E63" s="22"/>
      <c r="F63" s="22"/>
      <c r="G63" s="22"/>
      <c r="H63" s="22"/>
      <c r="I63" s="23" t="n">
        <f aca="false">IF(B63="",0,SQRT(B63*2^N(A63)))</f>
        <v>0</v>
      </c>
      <c r="J63" s="12" t="str">
        <f aca="false">IF(B63="","",IF(48&lt;$O$13,$O$3,IF(48&lt;$O$13+$Z$13,$Z$3,$AK$3)))</f>
        <v/>
      </c>
      <c r="L63" s="24" t="n">
        <f aca="false">L62+1</f>
        <v>48</v>
      </c>
      <c r="M63" s="24" t="str">
        <f aca="false">IF(L63&gt;=$O$7,"",IF($O$9-$O$8+1&lt;=$O$7,IF($O$8+L63&lt;=$O$9,$O$8+L63,""),IF(L63&lt;$O$10,$O$8+L63,ROUND($O$11*$O$12^(L63-$O$10+1),0))))</f>
        <v/>
      </c>
      <c r="N63" s="24" t="str">
        <f aca="false">IF(M63="","",M63-M62)</f>
        <v/>
      </c>
      <c r="O63" s="13" t="str">
        <f aca="false">IF(M63="","",SQRT(M63*2^$O$4))</f>
        <v/>
      </c>
      <c r="Q63" s="25" t="n">
        <v>49</v>
      </c>
      <c r="R63" s="25" t="n">
        <f aca="false">$O$8+Q63-1</f>
        <v>49</v>
      </c>
      <c r="S63" s="26" t="str">
        <f aca="false">IF(Q63&lt;=$O$7-1,($O$9/R63)^(1/($O$7-Q63)),"")</f>
        <v/>
      </c>
      <c r="T63" s="25" t="n">
        <f aca="false">IF(S63="",0,IF(R63*(S63-1)&gt;=1,1,0))</f>
        <v>0</v>
      </c>
      <c r="W63" s="24" t="n">
        <f aca="false">W62+1</f>
        <v>48</v>
      </c>
      <c r="X63" s="24" t="str">
        <f aca="false">IF(W63&gt;=$Z$7,"",IF($Z$9-$Z$8+1&lt;=$Z$7,IF($Z$8+W63&lt;=$Z$9,$Z$8+W63,""),IF(W63&lt;$Z$10,$Z$8+W63,ROUND($Z$11*$Z$12^(W63-$Z$10+1),0))))</f>
        <v/>
      </c>
      <c r="Y63" s="24" t="str">
        <f aca="false">IF(X63="","",X63-X62)</f>
        <v/>
      </c>
      <c r="Z63" s="13" t="str">
        <f aca="false">IF(X63="","",SQRT(X63*2^$Z$4))</f>
        <v/>
      </c>
      <c r="AB63" s="25" t="n">
        <v>49</v>
      </c>
      <c r="AC63" s="25" t="n">
        <f aca="false">$Z$8+AB63-1</f>
        <v>52</v>
      </c>
      <c r="AD63" s="26" t="str">
        <f aca="false">IF(AB63&lt;=$Z$7-1,($Z$9/AC63)^(1/($Z$7-AB63)),"")</f>
        <v/>
      </c>
      <c r="AE63" s="25" t="n">
        <f aca="false">IF(AD63="",0,IF(AC63*(AD63-1)&gt;=1,1,0))</f>
        <v>0</v>
      </c>
      <c r="AH63" s="24" t="n">
        <f aca="false">AH62+1</f>
        <v>48</v>
      </c>
      <c r="AI63" s="24" t="str">
        <f aca="false">IF(AH63&gt;=$AK$7,"",IF($AK$9-$AK$8+1&lt;=$AK$7,IF($AK$8+AH63&lt;=$AK$9,$AK$8+AH63,""),IF(AH63&lt;$AK$10,$AK$8+AH63,ROUND($AK$11*$AK$12^(AH63-$AK$10+1),0))))</f>
        <v/>
      </c>
      <c r="AJ63" s="24" t="str">
        <f aca="false">IF(AI63="","",AI63-AI62)</f>
        <v/>
      </c>
      <c r="AK63" s="13" t="str">
        <f aca="false">IF(AI63="","",SQRT(AI63*2^$AK$4))</f>
        <v/>
      </c>
      <c r="AM63" s="25" t="n">
        <v>49</v>
      </c>
      <c r="AN63" s="25" t="n">
        <f aca="false">$AK$8+AM63-1</f>
        <v>52</v>
      </c>
      <c r="AO63" s="26" t="str">
        <f aca="false">IF(AM63&lt;=$AK$7-1,($AK$9/AN63)^(1/($AK$7-AM63)),"")</f>
        <v/>
      </c>
      <c r="AP63" s="25" t="n">
        <f aca="false">IF(AO63="",0,IF(AN63*(AO63-1)&gt;=1,1,0))</f>
        <v>0</v>
      </c>
    </row>
    <row r="64" customFormat="false" ht="15" hidden="false" customHeight="false" outlineLevel="0" collapsed="false">
      <c r="A64" s="13" t="str">
        <f aca="false">IF(B64="","",$J$11-J64)</f>
        <v/>
      </c>
      <c r="B64" s="22" t="str">
        <f aca="false">IF(49&lt;$O$13,INDEX($M$15:$M$74,50),IF(49&lt;$O$13+$Z$13,INDEX($X$15:$X$74,49-$O$13+1),IF(49&lt;$O$13+$Z$13+$AK$13,INDEX($AI$15:$AI$74,49-$O$13-$Z$13+1),"")))</f>
        <v/>
      </c>
      <c r="C64" s="22"/>
      <c r="D64" s="22"/>
      <c r="E64" s="22"/>
      <c r="F64" s="22"/>
      <c r="G64" s="22"/>
      <c r="H64" s="22"/>
      <c r="I64" s="23" t="n">
        <f aca="false">IF(B64="",0,SQRT(B64*2^N(A64)))</f>
        <v>0</v>
      </c>
      <c r="J64" s="12" t="str">
        <f aca="false">IF(B64="","",IF(49&lt;$O$13,$O$3,IF(49&lt;$O$13+$Z$13,$Z$3,$AK$3)))</f>
        <v/>
      </c>
      <c r="L64" s="24" t="n">
        <f aca="false">L63+1</f>
        <v>49</v>
      </c>
      <c r="M64" s="24" t="str">
        <f aca="false">IF(L64&gt;=$O$7,"",IF($O$9-$O$8+1&lt;=$O$7,IF($O$8+L64&lt;=$O$9,$O$8+L64,""),IF(L64&lt;$O$10,$O$8+L64,ROUND($O$11*$O$12^(L64-$O$10+1),0))))</f>
        <v/>
      </c>
      <c r="N64" s="24" t="str">
        <f aca="false">IF(M64="","",M64-M63)</f>
        <v/>
      </c>
      <c r="O64" s="13" t="str">
        <f aca="false">IF(M64="","",SQRT(M64*2^$O$4))</f>
        <v/>
      </c>
      <c r="Q64" s="25" t="n">
        <v>50</v>
      </c>
      <c r="R64" s="25" t="n">
        <f aca="false">$O$8+Q64-1</f>
        <v>50</v>
      </c>
      <c r="S64" s="26" t="str">
        <f aca="false">IF(Q64&lt;=$O$7-1,($O$9/R64)^(1/($O$7-Q64)),"")</f>
        <v/>
      </c>
      <c r="T64" s="25" t="n">
        <f aca="false">IF(S64="",0,IF(R64*(S64-1)&gt;=1,1,0))</f>
        <v>0</v>
      </c>
      <c r="W64" s="24" t="n">
        <f aca="false">W63+1</f>
        <v>49</v>
      </c>
      <c r="X64" s="24" t="str">
        <f aca="false">IF(W64&gt;=$Z$7,"",IF($Z$9-$Z$8+1&lt;=$Z$7,IF($Z$8+W64&lt;=$Z$9,$Z$8+W64,""),IF(W64&lt;$Z$10,$Z$8+W64,ROUND($Z$11*$Z$12^(W64-$Z$10+1),0))))</f>
        <v/>
      </c>
      <c r="Y64" s="24" t="str">
        <f aca="false">IF(X64="","",X64-X63)</f>
        <v/>
      </c>
      <c r="Z64" s="13" t="str">
        <f aca="false">IF(X64="","",SQRT(X64*2^$Z$4))</f>
        <v/>
      </c>
      <c r="AB64" s="25" t="n">
        <v>50</v>
      </c>
      <c r="AC64" s="25" t="n">
        <f aca="false">$Z$8+AB64-1</f>
        <v>53</v>
      </c>
      <c r="AD64" s="26" t="str">
        <f aca="false">IF(AB64&lt;=$Z$7-1,($Z$9/AC64)^(1/($Z$7-AB64)),"")</f>
        <v/>
      </c>
      <c r="AE64" s="25" t="n">
        <f aca="false">IF(AD64="",0,IF(AC64*(AD64-1)&gt;=1,1,0))</f>
        <v>0</v>
      </c>
      <c r="AH64" s="24" t="n">
        <f aca="false">AH63+1</f>
        <v>49</v>
      </c>
      <c r="AI64" s="24" t="str">
        <f aca="false">IF(AH64&gt;=$AK$7,"",IF($AK$9-$AK$8+1&lt;=$AK$7,IF($AK$8+AH64&lt;=$AK$9,$AK$8+AH64,""),IF(AH64&lt;$AK$10,$AK$8+AH64,ROUND($AK$11*$AK$12^(AH64-$AK$10+1),0))))</f>
        <v/>
      </c>
      <c r="AJ64" s="24" t="str">
        <f aca="false">IF(AI64="","",AI64-AI63)</f>
        <v/>
      </c>
      <c r="AK64" s="13" t="str">
        <f aca="false">IF(AI64="","",SQRT(AI64*2^$AK$4))</f>
        <v/>
      </c>
      <c r="AM64" s="25" t="n">
        <v>50</v>
      </c>
      <c r="AN64" s="25" t="n">
        <f aca="false">$AK$8+AM64-1</f>
        <v>53</v>
      </c>
      <c r="AO64" s="26" t="str">
        <f aca="false">IF(AM64&lt;=$AK$7-1,($AK$9/AN64)^(1/($AK$7-AM64)),"")</f>
        <v/>
      </c>
      <c r="AP64" s="25" t="n">
        <f aca="false">IF(AO64="",0,IF(AN64*(AO64-1)&gt;=1,1,0))</f>
        <v>0</v>
      </c>
    </row>
    <row r="65" customFormat="false" ht="15" hidden="false" customHeight="false" outlineLevel="0" collapsed="false">
      <c r="A65" s="13" t="str">
        <f aca="false">IF(B65="","",$J$11-J65)</f>
        <v/>
      </c>
      <c r="B65" s="22" t="str">
        <f aca="false">IF(50&lt;$O$13,INDEX($M$15:$M$74,51),IF(50&lt;$O$13+$Z$13,INDEX($X$15:$X$74,50-$O$13+1),IF(50&lt;$O$13+$Z$13+$AK$13,INDEX($AI$15:$AI$74,50-$O$13-$Z$13+1),"")))</f>
        <v/>
      </c>
      <c r="C65" s="22"/>
      <c r="D65" s="22"/>
      <c r="E65" s="22"/>
      <c r="F65" s="22"/>
      <c r="G65" s="22"/>
      <c r="H65" s="22"/>
      <c r="I65" s="23" t="n">
        <f aca="false">IF(B65="",0,SQRT(B65*2^N(A65)))</f>
        <v>0</v>
      </c>
      <c r="J65" s="12" t="str">
        <f aca="false">IF(B65="","",IF(50&lt;$O$13,$O$3,IF(50&lt;$O$13+$Z$13,$Z$3,$AK$3)))</f>
        <v/>
      </c>
      <c r="L65" s="24" t="n">
        <f aca="false">L64+1</f>
        <v>50</v>
      </c>
      <c r="M65" s="24" t="str">
        <f aca="false">IF(L65&gt;=$O$7,"",IF($O$9-$O$8+1&lt;=$O$7,IF($O$8+L65&lt;=$O$9,$O$8+L65,""),IF(L65&lt;$O$10,$O$8+L65,ROUND($O$11*$O$12^(L65-$O$10+1),0))))</f>
        <v/>
      </c>
      <c r="N65" s="24" t="str">
        <f aca="false">IF(M65="","",M65-M64)</f>
        <v/>
      </c>
      <c r="O65" s="13" t="str">
        <f aca="false">IF(M65="","",SQRT(M65*2^$O$4))</f>
        <v/>
      </c>
      <c r="Q65" s="25" t="n">
        <v>51</v>
      </c>
      <c r="R65" s="25" t="n">
        <f aca="false">$O$8+Q65-1</f>
        <v>51</v>
      </c>
      <c r="S65" s="26" t="str">
        <f aca="false">IF(Q65&lt;=$O$7-1,($O$9/R65)^(1/($O$7-Q65)),"")</f>
        <v/>
      </c>
      <c r="T65" s="25" t="n">
        <f aca="false">IF(S65="",0,IF(R65*(S65-1)&gt;=1,1,0))</f>
        <v>0</v>
      </c>
      <c r="W65" s="24" t="n">
        <f aca="false">W64+1</f>
        <v>50</v>
      </c>
      <c r="X65" s="24" t="str">
        <f aca="false">IF(W65&gt;=$Z$7,"",IF($Z$9-$Z$8+1&lt;=$Z$7,IF($Z$8+W65&lt;=$Z$9,$Z$8+W65,""),IF(W65&lt;$Z$10,$Z$8+W65,ROUND($Z$11*$Z$12^(W65-$Z$10+1),0))))</f>
        <v/>
      </c>
      <c r="Y65" s="24" t="str">
        <f aca="false">IF(X65="","",X65-X64)</f>
        <v/>
      </c>
      <c r="Z65" s="13" t="str">
        <f aca="false">IF(X65="","",SQRT(X65*2^$Z$4))</f>
        <v/>
      </c>
      <c r="AB65" s="25" t="n">
        <v>51</v>
      </c>
      <c r="AC65" s="25" t="n">
        <f aca="false">$Z$8+AB65-1</f>
        <v>54</v>
      </c>
      <c r="AD65" s="26" t="str">
        <f aca="false">IF(AB65&lt;=$Z$7-1,($Z$9/AC65)^(1/($Z$7-AB65)),"")</f>
        <v/>
      </c>
      <c r="AE65" s="25" t="n">
        <f aca="false">IF(AD65="",0,IF(AC65*(AD65-1)&gt;=1,1,0))</f>
        <v>0</v>
      </c>
      <c r="AH65" s="24" t="n">
        <f aca="false">AH64+1</f>
        <v>50</v>
      </c>
      <c r="AI65" s="24" t="str">
        <f aca="false">IF(AH65&gt;=$AK$7,"",IF($AK$9-$AK$8+1&lt;=$AK$7,IF($AK$8+AH65&lt;=$AK$9,$AK$8+AH65,""),IF(AH65&lt;$AK$10,$AK$8+AH65,ROUND($AK$11*$AK$12^(AH65-$AK$10+1),0))))</f>
        <v/>
      </c>
      <c r="AJ65" s="24" t="str">
        <f aca="false">IF(AI65="","",AI65-AI64)</f>
        <v/>
      </c>
      <c r="AK65" s="13" t="str">
        <f aca="false">IF(AI65="","",SQRT(AI65*2^$AK$4))</f>
        <v/>
      </c>
      <c r="AM65" s="25" t="n">
        <v>51</v>
      </c>
      <c r="AN65" s="25" t="n">
        <f aca="false">$AK$8+AM65-1</f>
        <v>54</v>
      </c>
      <c r="AO65" s="26" t="str">
        <f aca="false">IF(AM65&lt;=$AK$7-1,($AK$9/AN65)^(1/($AK$7-AM65)),"")</f>
        <v/>
      </c>
      <c r="AP65" s="25" t="n">
        <f aca="false">IF(AO65="",0,IF(AN65*(AO65-1)&gt;=1,1,0))</f>
        <v>0</v>
      </c>
    </row>
    <row r="66" customFormat="false" ht="15" hidden="false" customHeight="false" outlineLevel="0" collapsed="false">
      <c r="A66" s="13" t="str">
        <f aca="false">IF(B66="","",$J$11-J66)</f>
        <v/>
      </c>
      <c r="B66" s="22" t="str">
        <f aca="false">IF(51&lt;$O$13,INDEX($M$15:$M$74,52),IF(51&lt;$O$13+$Z$13,INDEX($X$15:$X$74,51-$O$13+1),IF(51&lt;$O$13+$Z$13+$AK$13,INDEX($AI$15:$AI$74,51-$O$13-$Z$13+1),"")))</f>
        <v/>
      </c>
      <c r="C66" s="22"/>
      <c r="D66" s="22"/>
      <c r="E66" s="22"/>
      <c r="F66" s="22"/>
      <c r="G66" s="22"/>
      <c r="H66" s="22"/>
      <c r="I66" s="23" t="n">
        <f aca="false">IF(B66="",0,SQRT(B66*2^N(A66)))</f>
        <v>0</v>
      </c>
      <c r="J66" s="12" t="str">
        <f aca="false">IF(B66="","",IF(51&lt;$O$13,$O$3,IF(51&lt;$O$13+$Z$13,$Z$3,$AK$3)))</f>
        <v/>
      </c>
      <c r="L66" s="24" t="n">
        <f aca="false">L65+1</f>
        <v>51</v>
      </c>
      <c r="M66" s="24" t="str">
        <f aca="false">IF(L66&gt;=$O$7,"",IF($O$9-$O$8+1&lt;=$O$7,IF($O$8+L66&lt;=$O$9,$O$8+L66,""),IF(L66&lt;$O$10,$O$8+L66,ROUND($O$11*$O$12^(L66-$O$10+1),0))))</f>
        <v/>
      </c>
      <c r="N66" s="24" t="str">
        <f aca="false">IF(M66="","",M66-M65)</f>
        <v/>
      </c>
      <c r="O66" s="13" t="str">
        <f aca="false">IF(M66="","",SQRT(M66*2^$O$4))</f>
        <v/>
      </c>
      <c r="Q66" s="25" t="n">
        <v>52</v>
      </c>
      <c r="R66" s="25" t="n">
        <f aca="false">$O$8+Q66-1</f>
        <v>52</v>
      </c>
      <c r="S66" s="26" t="str">
        <f aca="false">IF(Q66&lt;=$O$7-1,($O$9/R66)^(1/($O$7-Q66)),"")</f>
        <v/>
      </c>
      <c r="T66" s="25" t="n">
        <f aca="false">IF(S66="",0,IF(R66*(S66-1)&gt;=1,1,0))</f>
        <v>0</v>
      </c>
      <c r="W66" s="24" t="n">
        <f aca="false">W65+1</f>
        <v>51</v>
      </c>
      <c r="X66" s="24" t="str">
        <f aca="false">IF(W66&gt;=$Z$7,"",IF($Z$9-$Z$8+1&lt;=$Z$7,IF($Z$8+W66&lt;=$Z$9,$Z$8+W66,""),IF(W66&lt;$Z$10,$Z$8+W66,ROUND($Z$11*$Z$12^(W66-$Z$10+1),0))))</f>
        <v/>
      </c>
      <c r="Y66" s="24" t="str">
        <f aca="false">IF(X66="","",X66-X65)</f>
        <v/>
      </c>
      <c r="Z66" s="13" t="str">
        <f aca="false">IF(X66="","",SQRT(X66*2^$Z$4))</f>
        <v/>
      </c>
      <c r="AB66" s="25" t="n">
        <v>52</v>
      </c>
      <c r="AC66" s="25" t="n">
        <f aca="false">$Z$8+AB66-1</f>
        <v>55</v>
      </c>
      <c r="AD66" s="26" t="str">
        <f aca="false">IF(AB66&lt;=$Z$7-1,($Z$9/AC66)^(1/($Z$7-AB66)),"")</f>
        <v/>
      </c>
      <c r="AE66" s="25" t="n">
        <f aca="false">IF(AD66="",0,IF(AC66*(AD66-1)&gt;=1,1,0))</f>
        <v>0</v>
      </c>
      <c r="AH66" s="24" t="n">
        <f aca="false">AH65+1</f>
        <v>51</v>
      </c>
      <c r="AI66" s="24" t="str">
        <f aca="false">IF(AH66&gt;=$AK$7,"",IF($AK$9-$AK$8+1&lt;=$AK$7,IF($AK$8+AH66&lt;=$AK$9,$AK$8+AH66,""),IF(AH66&lt;$AK$10,$AK$8+AH66,ROUND($AK$11*$AK$12^(AH66-$AK$10+1),0))))</f>
        <v/>
      </c>
      <c r="AJ66" s="24" t="str">
        <f aca="false">IF(AI66="","",AI66-AI65)</f>
        <v/>
      </c>
      <c r="AK66" s="13" t="str">
        <f aca="false">IF(AI66="","",SQRT(AI66*2^$AK$4))</f>
        <v/>
      </c>
      <c r="AM66" s="25" t="n">
        <v>52</v>
      </c>
      <c r="AN66" s="25" t="n">
        <f aca="false">$AK$8+AM66-1</f>
        <v>55</v>
      </c>
      <c r="AO66" s="26" t="str">
        <f aca="false">IF(AM66&lt;=$AK$7-1,($AK$9/AN66)^(1/($AK$7-AM66)),"")</f>
        <v/>
      </c>
      <c r="AP66" s="25" t="n">
        <f aca="false">IF(AO66="",0,IF(AN66*(AO66-1)&gt;=1,1,0))</f>
        <v>0</v>
      </c>
    </row>
    <row r="67" customFormat="false" ht="15" hidden="false" customHeight="false" outlineLevel="0" collapsed="false">
      <c r="A67" s="13" t="str">
        <f aca="false">IF(B67="","",$J$11-J67)</f>
        <v/>
      </c>
      <c r="B67" s="22" t="str">
        <f aca="false">IF(52&lt;$O$13,INDEX($M$15:$M$74,53),IF(52&lt;$O$13+$Z$13,INDEX($X$15:$X$74,52-$O$13+1),IF(52&lt;$O$13+$Z$13+$AK$13,INDEX($AI$15:$AI$74,52-$O$13-$Z$13+1),"")))</f>
        <v/>
      </c>
      <c r="C67" s="22"/>
      <c r="D67" s="22"/>
      <c r="E67" s="22"/>
      <c r="F67" s="22"/>
      <c r="G67" s="22"/>
      <c r="H67" s="22"/>
      <c r="I67" s="23" t="n">
        <f aca="false">IF(B67="",0,SQRT(B67*2^N(A67)))</f>
        <v>0</v>
      </c>
      <c r="J67" s="12" t="str">
        <f aca="false">IF(B67="","",IF(52&lt;$O$13,$O$3,IF(52&lt;$O$13+$Z$13,$Z$3,$AK$3)))</f>
        <v/>
      </c>
      <c r="L67" s="24" t="n">
        <f aca="false">L66+1</f>
        <v>52</v>
      </c>
      <c r="M67" s="24" t="str">
        <f aca="false">IF(L67&gt;=$O$7,"",IF($O$9-$O$8+1&lt;=$O$7,IF($O$8+L67&lt;=$O$9,$O$8+L67,""),IF(L67&lt;$O$10,$O$8+L67,ROUND($O$11*$O$12^(L67-$O$10+1),0))))</f>
        <v/>
      </c>
      <c r="N67" s="24" t="str">
        <f aca="false">IF(M67="","",M67-M66)</f>
        <v/>
      </c>
      <c r="O67" s="13" t="str">
        <f aca="false">IF(M67="","",SQRT(M67*2^$O$4))</f>
        <v/>
      </c>
      <c r="Q67" s="25" t="n">
        <v>53</v>
      </c>
      <c r="R67" s="25" t="n">
        <f aca="false">$O$8+Q67-1</f>
        <v>53</v>
      </c>
      <c r="S67" s="26" t="str">
        <f aca="false">IF(Q67&lt;=$O$7-1,($O$9/R67)^(1/($O$7-Q67)),"")</f>
        <v/>
      </c>
      <c r="T67" s="25" t="n">
        <f aca="false">IF(S67="",0,IF(R67*(S67-1)&gt;=1,1,0))</f>
        <v>0</v>
      </c>
      <c r="W67" s="24" t="n">
        <f aca="false">W66+1</f>
        <v>52</v>
      </c>
      <c r="X67" s="24" t="str">
        <f aca="false">IF(W67&gt;=$Z$7,"",IF($Z$9-$Z$8+1&lt;=$Z$7,IF($Z$8+W67&lt;=$Z$9,$Z$8+W67,""),IF(W67&lt;$Z$10,$Z$8+W67,ROUND($Z$11*$Z$12^(W67-$Z$10+1),0))))</f>
        <v/>
      </c>
      <c r="Y67" s="24" t="str">
        <f aca="false">IF(X67="","",X67-X66)</f>
        <v/>
      </c>
      <c r="Z67" s="13" t="str">
        <f aca="false">IF(X67="","",SQRT(X67*2^$Z$4))</f>
        <v/>
      </c>
      <c r="AB67" s="25" t="n">
        <v>53</v>
      </c>
      <c r="AC67" s="25" t="n">
        <f aca="false">$Z$8+AB67-1</f>
        <v>56</v>
      </c>
      <c r="AD67" s="26" t="str">
        <f aca="false">IF(AB67&lt;=$Z$7-1,($Z$9/AC67)^(1/($Z$7-AB67)),"")</f>
        <v/>
      </c>
      <c r="AE67" s="25" t="n">
        <f aca="false">IF(AD67="",0,IF(AC67*(AD67-1)&gt;=1,1,0))</f>
        <v>0</v>
      </c>
      <c r="AH67" s="24" t="n">
        <f aca="false">AH66+1</f>
        <v>52</v>
      </c>
      <c r="AI67" s="24" t="str">
        <f aca="false">IF(AH67&gt;=$AK$7,"",IF($AK$9-$AK$8+1&lt;=$AK$7,IF($AK$8+AH67&lt;=$AK$9,$AK$8+AH67,""),IF(AH67&lt;$AK$10,$AK$8+AH67,ROUND($AK$11*$AK$12^(AH67-$AK$10+1),0))))</f>
        <v/>
      </c>
      <c r="AJ67" s="24" t="str">
        <f aca="false">IF(AI67="","",AI67-AI66)</f>
        <v/>
      </c>
      <c r="AK67" s="13" t="str">
        <f aca="false">IF(AI67="","",SQRT(AI67*2^$AK$4))</f>
        <v/>
      </c>
      <c r="AM67" s="25" t="n">
        <v>53</v>
      </c>
      <c r="AN67" s="25" t="n">
        <f aca="false">$AK$8+AM67-1</f>
        <v>56</v>
      </c>
      <c r="AO67" s="26" t="str">
        <f aca="false">IF(AM67&lt;=$AK$7-1,($AK$9/AN67)^(1/($AK$7-AM67)),"")</f>
        <v/>
      </c>
      <c r="AP67" s="25" t="n">
        <f aca="false">IF(AO67="",0,IF(AN67*(AO67-1)&gt;=1,1,0))</f>
        <v>0</v>
      </c>
    </row>
    <row r="68" customFormat="false" ht="15" hidden="false" customHeight="false" outlineLevel="0" collapsed="false">
      <c r="A68" s="13" t="str">
        <f aca="false">IF(B68="","",$J$11-J68)</f>
        <v/>
      </c>
      <c r="B68" s="22" t="str">
        <f aca="false">IF(53&lt;$O$13,INDEX($M$15:$M$74,54),IF(53&lt;$O$13+$Z$13,INDEX($X$15:$X$74,53-$O$13+1),IF(53&lt;$O$13+$Z$13+$AK$13,INDEX($AI$15:$AI$74,53-$O$13-$Z$13+1),"")))</f>
        <v/>
      </c>
      <c r="C68" s="22"/>
      <c r="D68" s="22"/>
      <c r="E68" s="22"/>
      <c r="F68" s="22"/>
      <c r="G68" s="22"/>
      <c r="H68" s="22"/>
      <c r="I68" s="23" t="n">
        <f aca="false">IF(B68="",0,SQRT(B68*2^N(A68)))</f>
        <v>0</v>
      </c>
      <c r="J68" s="12" t="str">
        <f aca="false">IF(B68="","",IF(53&lt;$O$13,$O$3,IF(53&lt;$O$13+$Z$13,$Z$3,$AK$3)))</f>
        <v/>
      </c>
      <c r="L68" s="24" t="n">
        <f aca="false">L67+1</f>
        <v>53</v>
      </c>
      <c r="M68" s="24" t="str">
        <f aca="false">IF(L68&gt;=$O$7,"",IF($O$9-$O$8+1&lt;=$O$7,IF($O$8+L68&lt;=$O$9,$O$8+L68,""),IF(L68&lt;$O$10,$O$8+L68,ROUND($O$11*$O$12^(L68-$O$10+1),0))))</f>
        <v/>
      </c>
      <c r="N68" s="24" t="str">
        <f aca="false">IF(M68="","",M68-M67)</f>
        <v/>
      </c>
      <c r="O68" s="13" t="str">
        <f aca="false">IF(M68="","",SQRT(M68*2^$O$4))</f>
        <v/>
      </c>
      <c r="Q68" s="25" t="n">
        <v>54</v>
      </c>
      <c r="R68" s="25" t="n">
        <f aca="false">$O$8+Q68-1</f>
        <v>54</v>
      </c>
      <c r="S68" s="26" t="str">
        <f aca="false">IF(Q68&lt;=$O$7-1,($O$9/R68)^(1/($O$7-Q68)),"")</f>
        <v/>
      </c>
      <c r="T68" s="25" t="n">
        <f aca="false">IF(S68="",0,IF(R68*(S68-1)&gt;=1,1,0))</f>
        <v>0</v>
      </c>
      <c r="W68" s="24" t="n">
        <f aca="false">W67+1</f>
        <v>53</v>
      </c>
      <c r="X68" s="24" t="str">
        <f aca="false">IF(W68&gt;=$Z$7,"",IF($Z$9-$Z$8+1&lt;=$Z$7,IF($Z$8+W68&lt;=$Z$9,$Z$8+W68,""),IF(W68&lt;$Z$10,$Z$8+W68,ROUND($Z$11*$Z$12^(W68-$Z$10+1),0))))</f>
        <v/>
      </c>
      <c r="Y68" s="24" t="str">
        <f aca="false">IF(X68="","",X68-X67)</f>
        <v/>
      </c>
      <c r="Z68" s="13" t="str">
        <f aca="false">IF(X68="","",SQRT(X68*2^$Z$4))</f>
        <v/>
      </c>
      <c r="AB68" s="25" t="n">
        <v>54</v>
      </c>
      <c r="AC68" s="25" t="n">
        <f aca="false">$Z$8+AB68-1</f>
        <v>57</v>
      </c>
      <c r="AD68" s="26" t="str">
        <f aca="false">IF(AB68&lt;=$Z$7-1,($Z$9/AC68)^(1/($Z$7-AB68)),"")</f>
        <v/>
      </c>
      <c r="AE68" s="25" t="n">
        <f aca="false">IF(AD68="",0,IF(AC68*(AD68-1)&gt;=1,1,0))</f>
        <v>0</v>
      </c>
      <c r="AH68" s="24" t="n">
        <f aca="false">AH67+1</f>
        <v>53</v>
      </c>
      <c r="AI68" s="24" t="str">
        <f aca="false">IF(AH68&gt;=$AK$7,"",IF($AK$9-$AK$8+1&lt;=$AK$7,IF($AK$8+AH68&lt;=$AK$9,$AK$8+AH68,""),IF(AH68&lt;$AK$10,$AK$8+AH68,ROUND($AK$11*$AK$12^(AH68-$AK$10+1),0))))</f>
        <v/>
      </c>
      <c r="AJ68" s="24" t="str">
        <f aca="false">IF(AI68="","",AI68-AI67)</f>
        <v/>
      </c>
      <c r="AK68" s="13" t="str">
        <f aca="false">IF(AI68="","",SQRT(AI68*2^$AK$4))</f>
        <v/>
      </c>
      <c r="AM68" s="25" t="n">
        <v>54</v>
      </c>
      <c r="AN68" s="25" t="n">
        <f aca="false">$AK$8+AM68-1</f>
        <v>57</v>
      </c>
      <c r="AO68" s="26" t="str">
        <f aca="false">IF(AM68&lt;=$AK$7-1,($AK$9/AN68)^(1/($AK$7-AM68)),"")</f>
        <v/>
      </c>
      <c r="AP68" s="25" t="n">
        <f aca="false">IF(AO68="",0,IF(AN68*(AO68-1)&gt;=1,1,0))</f>
        <v>0</v>
      </c>
    </row>
    <row r="69" customFormat="false" ht="15" hidden="false" customHeight="false" outlineLevel="0" collapsed="false">
      <c r="A69" s="13" t="str">
        <f aca="false">IF(B69="","",$J$11-J69)</f>
        <v/>
      </c>
      <c r="B69" s="22" t="str">
        <f aca="false">IF(54&lt;$O$13,INDEX($M$15:$M$74,55),IF(54&lt;$O$13+$Z$13,INDEX($X$15:$X$74,54-$O$13+1),IF(54&lt;$O$13+$Z$13+$AK$13,INDEX($AI$15:$AI$74,54-$O$13-$Z$13+1),"")))</f>
        <v/>
      </c>
      <c r="C69" s="22"/>
      <c r="D69" s="22"/>
      <c r="E69" s="22"/>
      <c r="F69" s="22"/>
      <c r="G69" s="22"/>
      <c r="H69" s="22"/>
      <c r="I69" s="23" t="n">
        <f aca="false">IF(B69="",0,SQRT(B69*2^N(A69)))</f>
        <v>0</v>
      </c>
      <c r="J69" s="12" t="str">
        <f aca="false">IF(B69="","",IF(54&lt;$O$13,$O$3,IF(54&lt;$O$13+$Z$13,$Z$3,$AK$3)))</f>
        <v/>
      </c>
      <c r="L69" s="24" t="n">
        <f aca="false">L68+1</f>
        <v>54</v>
      </c>
      <c r="M69" s="24" t="str">
        <f aca="false">IF(L69&gt;=$O$7,"",IF($O$9-$O$8+1&lt;=$O$7,IF($O$8+L69&lt;=$O$9,$O$8+L69,""),IF(L69&lt;$O$10,$O$8+L69,ROUND($O$11*$O$12^(L69-$O$10+1),0))))</f>
        <v/>
      </c>
      <c r="N69" s="24" t="str">
        <f aca="false">IF(M69="","",M69-M68)</f>
        <v/>
      </c>
      <c r="O69" s="13" t="str">
        <f aca="false">IF(M69="","",SQRT(M69*2^$O$4))</f>
        <v/>
      </c>
      <c r="Q69" s="25" t="n">
        <v>55</v>
      </c>
      <c r="R69" s="25" t="n">
        <f aca="false">$O$8+Q69-1</f>
        <v>55</v>
      </c>
      <c r="S69" s="26" t="str">
        <f aca="false">IF(Q69&lt;=$O$7-1,($O$9/R69)^(1/($O$7-Q69)),"")</f>
        <v/>
      </c>
      <c r="T69" s="25" t="n">
        <f aca="false">IF(S69="",0,IF(R69*(S69-1)&gt;=1,1,0))</f>
        <v>0</v>
      </c>
      <c r="W69" s="24" t="n">
        <f aca="false">W68+1</f>
        <v>54</v>
      </c>
      <c r="X69" s="24" t="str">
        <f aca="false">IF(W69&gt;=$Z$7,"",IF($Z$9-$Z$8+1&lt;=$Z$7,IF($Z$8+W69&lt;=$Z$9,$Z$8+W69,""),IF(W69&lt;$Z$10,$Z$8+W69,ROUND($Z$11*$Z$12^(W69-$Z$10+1),0))))</f>
        <v/>
      </c>
      <c r="Y69" s="24" t="str">
        <f aca="false">IF(X69="","",X69-X68)</f>
        <v/>
      </c>
      <c r="Z69" s="13" t="str">
        <f aca="false">IF(X69="","",SQRT(X69*2^$Z$4))</f>
        <v/>
      </c>
      <c r="AB69" s="25" t="n">
        <v>55</v>
      </c>
      <c r="AC69" s="25" t="n">
        <f aca="false">$Z$8+AB69-1</f>
        <v>58</v>
      </c>
      <c r="AD69" s="26" t="str">
        <f aca="false">IF(AB69&lt;=$Z$7-1,($Z$9/AC69)^(1/($Z$7-AB69)),"")</f>
        <v/>
      </c>
      <c r="AE69" s="25" t="n">
        <f aca="false">IF(AD69="",0,IF(AC69*(AD69-1)&gt;=1,1,0))</f>
        <v>0</v>
      </c>
      <c r="AH69" s="24" t="n">
        <f aca="false">AH68+1</f>
        <v>54</v>
      </c>
      <c r="AI69" s="24" t="str">
        <f aca="false">IF(AH69&gt;=$AK$7,"",IF($AK$9-$AK$8+1&lt;=$AK$7,IF($AK$8+AH69&lt;=$AK$9,$AK$8+AH69,""),IF(AH69&lt;$AK$10,$AK$8+AH69,ROUND($AK$11*$AK$12^(AH69-$AK$10+1),0))))</f>
        <v/>
      </c>
      <c r="AJ69" s="24" t="str">
        <f aca="false">IF(AI69="","",AI69-AI68)</f>
        <v/>
      </c>
      <c r="AK69" s="13" t="str">
        <f aca="false">IF(AI69="","",SQRT(AI69*2^$AK$4))</f>
        <v/>
      </c>
      <c r="AM69" s="25" t="n">
        <v>55</v>
      </c>
      <c r="AN69" s="25" t="n">
        <f aca="false">$AK$8+AM69-1</f>
        <v>58</v>
      </c>
      <c r="AO69" s="26" t="str">
        <f aca="false">IF(AM69&lt;=$AK$7-1,($AK$9/AN69)^(1/($AK$7-AM69)),"")</f>
        <v/>
      </c>
      <c r="AP69" s="25" t="n">
        <f aca="false">IF(AO69="",0,IF(AN69*(AO69-1)&gt;=1,1,0))</f>
        <v>0</v>
      </c>
    </row>
    <row r="70" customFormat="false" ht="15" hidden="false" customHeight="false" outlineLevel="0" collapsed="false">
      <c r="A70" s="13" t="str">
        <f aca="false">IF(B70="","",$J$11-J70)</f>
        <v/>
      </c>
      <c r="B70" s="22" t="str">
        <f aca="false">IF(55&lt;$O$13,INDEX($M$15:$M$74,56),IF(55&lt;$O$13+$Z$13,INDEX($X$15:$X$74,55-$O$13+1),IF(55&lt;$O$13+$Z$13+$AK$13,INDEX($AI$15:$AI$74,55-$O$13-$Z$13+1),"")))</f>
        <v/>
      </c>
      <c r="C70" s="22"/>
      <c r="D70" s="22"/>
      <c r="E70" s="22"/>
      <c r="F70" s="22"/>
      <c r="G70" s="22"/>
      <c r="H70" s="22"/>
      <c r="I70" s="23" t="n">
        <f aca="false">IF(B70="",0,SQRT(B70*2^N(A70)))</f>
        <v>0</v>
      </c>
      <c r="J70" s="12" t="str">
        <f aca="false">IF(B70="","",IF(55&lt;$O$13,$O$3,IF(55&lt;$O$13+$Z$13,$Z$3,$AK$3)))</f>
        <v/>
      </c>
      <c r="L70" s="24" t="n">
        <f aca="false">L69+1</f>
        <v>55</v>
      </c>
      <c r="M70" s="24" t="str">
        <f aca="false">IF(L70&gt;=$O$7,"",IF($O$9-$O$8+1&lt;=$O$7,IF($O$8+L70&lt;=$O$9,$O$8+L70,""),IF(L70&lt;$O$10,$O$8+L70,ROUND($O$11*$O$12^(L70-$O$10+1),0))))</f>
        <v/>
      </c>
      <c r="N70" s="24" t="str">
        <f aca="false">IF(M70="","",M70-M69)</f>
        <v/>
      </c>
      <c r="O70" s="13" t="str">
        <f aca="false">IF(M70="","",SQRT(M70*2^$O$4))</f>
        <v/>
      </c>
      <c r="Q70" s="25" t="n">
        <v>56</v>
      </c>
      <c r="R70" s="25" t="n">
        <f aca="false">$O$8+Q70-1</f>
        <v>56</v>
      </c>
      <c r="S70" s="26" t="str">
        <f aca="false">IF(Q70&lt;=$O$7-1,($O$9/R70)^(1/($O$7-Q70)),"")</f>
        <v/>
      </c>
      <c r="T70" s="25" t="n">
        <f aca="false">IF(S70="",0,IF(R70*(S70-1)&gt;=1,1,0))</f>
        <v>0</v>
      </c>
      <c r="W70" s="24" t="n">
        <f aca="false">W69+1</f>
        <v>55</v>
      </c>
      <c r="X70" s="24" t="str">
        <f aca="false">IF(W70&gt;=$Z$7,"",IF($Z$9-$Z$8+1&lt;=$Z$7,IF($Z$8+W70&lt;=$Z$9,$Z$8+W70,""),IF(W70&lt;$Z$10,$Z$8+W70,ROUND($Z$11*$Z$12^(W70-$Z$10+1),0))))</f>
        <v/>
      </c>
      <c r="Y70" s="24" t="str">
        <f aca="false">IF(X70="","",X70-X69)</f>
        <v/>
      </c>
      <c r="Z70" s="13" t="str">
        <f aca="false">IF(X70="","",SQRT(X70*2^$Z$4))</f>
        <v/>
      </c>
      <c r="AB70" s="25" t="n">
        <v>56</v>
      </c>
      <c r="AC70" s="25" t="n">
        <f aca="false">$Z$8+AB70-1</f>
        <v>59</v>
      </c>
      <c r="AD70" s="26" t="str">
        <f aca="false">IF(AB70&lt;=$Z$7-1,($Z$9/AC70)^(1/($Z$7-AB70)),"")</f>
        <v/>
      </c>
      <c r="AE70" s="25" t="n">
        <f aca="false">IF(AD70="",0,IF(AC70*(AD70-1)&gt;=1,1,0))</f>
        <v>0</v>
      </c>
      <c r="AH70" s="24" t="n">
        <f aca="false">AH69+1</f>
        <v>55</v>
      </c>
      <c r="AI70" s="24" t="str">
        <f aca="false">IF(AH70&gt;=$AK$7,"",IF($AK$9-$AK$8+1&lt;=$AK$7,IF($AK$8+AH70&lt;=$AK$9,$AK$8+AH70,""),IF(AH70&lt;$AK$10,$AK$8+AH70,ROUND($AK$11*$AK$12^(AH70-$AK$10+1),0))))</f>
        <v/>
      </c>
      <c r="AJ70" s="24" t="str">
        <f aca="false">IF(AI70="","",AI70-AI69)</f>
        <v/>
      </c>
      <c r="AK70" s="13" t="str">
        <f aca="false">IF(AI70="","",SQRT(AI70*2^$AK$4))</f>
        <v/>
      </c>
      <c r="AM70" s="25" t="n">
        <v>56</v>
      </c>
      <c r="AN70" s="25" t="n">
        <f aca="false">$AK$8+AM70-1</f>
        <v>59</v>
      </c>
      <c r="AO70" s="26" t="str">
        <f aca="false">IF(AM70&lt;=$AK$7-1,($AK$9/AN70)^(1/($AK$7-AM70)),"")</f>
        <v/>
      </c>
      <c r="AP70" s="25" t="n">
        <f aca="false">IF(AO70="",0,IF(AN70*(AO70-1)&gt;=1,1,0))</f>
        <v>0</v>
      </c>
    </row>
    <row r="71" customFormat="false" ht="15" hidden="false" customHeight="false" outlineLevel="0" collapsed="false">
      <c r="A71" s="13" t="str">
        <f aca="false">IF(B71="","",$J$11-J71)</f>
        <v/>
      </c>
      <c r="B71" s="22" t="str">
        <f aca="false">IF(56&lt;$O$13,INDEX($M$15:$M$74,57),IF(56&lt;$O$13+$Z$13,INDEX($X$15:$X$74,56-$O$13+1),IF(56&lt;$O$13+$Z$13+$AK$13,INDEX($AI$15:$AI$74,56-$O$13-$Z$13+1),"")))</f>
        <v/>
      </c>
      <c r="C71" s="22"/>
      <c r="D71" s="22"/>
      <c r="E71" s="22"/>
      <c r="F71" s="22"/>
      <c r="G71" s="22"/>
      <c r="H71" s="22"/>
      <c r="I71" s="23" t="n">
        <f aca="false">IF(B71="",0,SQRT(B71*2^N(A71)))</f>
        <v>0</v>
      </c>
      <c r="J71" s="12" t="str">
        <f aca="false">IF(B71="","",IF(56&lt;$O$13,$O$3,IF(56&lt;$O$13+$Z$13,$Z$3,$AK$3)))</f>
        <v/>
      </c>
      <c r="L71" s="24" t="n">
        <f aca="false">L70+1</f>
        <v>56</v>
      </c>
      <c r="M71" s="24" t="str">
        <f aca="false">IF(L71&gt;=$O$7,"",IF($O$9-$O$8+1&lt;=$O$7,IF($O$8+L71&lt;=$O$9,$O$8+L71,""),IF(L71&lt;$O$10,$O$8+L71,ROUND($O$11*$O$12^(L71-$O$10+1),0))))</f>
        <v/>
      </c>
      <c r="N71" s="24" t="str">
        <f aca="false">IF(M71="","",M71-M70)</f>
        <v/>
      </c>
      <c r="O71" s="13" t="str">
        <f aca="false">IF(M71="","",SQRT(M71*2^$O$4))</f>
        <v/>
      </c>
      <c r="Q71" s="25" t="n">
        <v>57</v>
      </c>
      <c r="R71" s="25" t="n">
        <f aca="false">$O$8+Q71-1</f>
        <v>57</v>
      </c>
      <c r="S71" s="26" t="str">
        <f aca="false">IF(Q71&lt;=$O$7-1,($O$9/R71)^(1/($O$7-Q71)),"")</f>
        <v/>
      </c>
      <c r="T71" s="25" t="n">
        <f aca="false">IF(S71="",0,IF(R71*(S71-1)&gt;=1,1,0))</f>
        <v>0</v>
      </c>
      <c r="W71" s="24" t="n">
        <f aca="false">W70+1</f>
        <v>56</v>
      </c>
      <c r="X71" s="24" t="str">
        <f aca="false">IF(W71&gt;=$Z$7,"",IF($Z$9-$Z$8+1&lt;=$Z$7,IF($Z$8+W71&lt;=$Z$9,$Z$8+W71,""),IF(W71&lt;$Z$10,$Z$8+W71,ROUND($Z$11*$Z$12^(W71-$Z$10+1),0))))</f>
        <v/>
      </c>
      <c r="Y71" s="24" t="str">
        <f aca="false">IF(X71="","",X71-X70)</f>
        <v/>
      </c>
      <c r="Z71" s="13" t="str">
        <f aca="false">IF(X71="","",SQRT(X71*2^$Z$4))</f>
        <v/>
      </c>
      <c r="AB71" s="25" t="n">
        <v>57</v>
      </c>
      <c r="AC71" s="25" t="n">
        <f aca="false">$Z$8+AB71-1</f>
        <v>60</v>
      </c>
      <c r="AD71" s="26" t="str">
        <f aca="false">IF(AB71&lt;=$Z$7-1,($Z$9/AC71)^(1/($Z$7-AB71)),"")</f>
        <v/>
      </c>
      <c r="AE71" s="25" t="n">
        <f aca="false">IF(AD71="",0,IF(AC71*(AD71-1)&gt;=1,1,0))</f>
        <v>0</v>
      </c>
      <c r="AH71" s="24" t="n">
        <f aca="false">AH70+1</f>
        <v>56</v>
      </c>
      <c r="AI71" s="24" t="str">
        <f aca="false">IF(AH71&gt;=$AK$7,"",IF($AK$9-$AK$8+1&lt;=$AK$7,IF($AK$8+AH71&lt;=$AK$9,$AK$8+AH71,""),IF(AH71&lt;$AK$10,$AK$8+AH71,ROUND($AK$11*$AK$12^(AH71-$AK$10+1),0))))</f>
        <v/>
      </c>
      <c r="AJ71" s="24" t="str">
        <f aca="false">IF(AI71="","",AI71-AI70)</f>
        <v/>
      </c>
      <c r="AK71" s="13" t="str">
        <f aca="false">IF(AI71="","",SQRT(AI71*2^$AK$4))</f>
        <v/>
      </c>
      <c r="AM71" s="25" t="n">
        <v>57</v>
      </c>
      <c r="AN71" s="25" t="n">
        <f aca="false">$AK$8+AM71-1</f>
        <v>60</v>
      </c>
      <c r="AO71" s="26" t="str">
        <f aca="false">IF(AM71&lt;=$AK$7-1,($AK$9/AN71)^(1/($AK$7-AM71)),"")</f>
        <v/>
      </c>
      <c r="AP71" s="25" t="n">
        <f aca="false">IF(AO71="",0,IF(AN71*(AO71-1)&gt;=1,1,0))</f>
        <v>0</v>
      </c>
    </row>
    <row r="72" customFormat="false" ht="15" hidden="false" customHeight="false" outlineLevel="0" collapsed="false">
      <c r="A72" s="13" t="str">
        <f aca="false">IF(B72="","",$J$11-J72)</f>
        <v/>
      </c>
      <c r="B72" s="22" t="str">
        <f aca="false">IF(57&lt;$O$13,INDEX($M$15:$M$74,58),IF(57&lt;$O$13+$Z$13,INDEX($X$15:$X$74,57-$O$13+1),IF(57&lt;$O$13+$Z$13+$AK$13,INDEX($AI$15:$AI$74,57-$O$13-$Z$13+1),"")))</f>
        <v/>
      </c>
      <c r="C72" s="22"/>
      <c r="D72" s="22"/>
      <c r="E72" s="22"/>
      <c r="F72" s="22"/>
      <c r="G72" s="22"/>
      <c r="H72" s="22"/>
      <c r="I72" s="23" t="n">
        <f aca="false">IF(B72="",0,SQRT(B72*2^N(A72)))</f>
        <v>0</v>
      </c>
      <c r="J72" s="12" t="str">
        <f aca="false">IF(B72="","",IF(57&lt;$O$13,$O$3,IF(57&lt;$O$13+$Z$13,$Z$3,$AK$3)))</f>
        <v/>
      </c>
      <c r="L72" s="24" t="n">
        <f aca="false">L71+1</f>
        <v>57</v>
      </c>
      <c r="M72" s="24" t="str">
        <f aca="false">IF(L72&gt;=$O$7,"",IF($O$9-$O$8+1&lt;=$O$7,IF($O$8+L72&lt;=$O$9,$O$8+L72,""),IF(L72&lt;$O$10,$O$8+L72,ROUND($O$11*$O$12^(L72-$O$10+1),0))))</f>
        <v/>
      </c>
      <c r="N72" s="24" t="str">
        <f aca="false">IF(M72="","",M72-M71)</f>
        <v/>
      </c>
      <c r="O72" s="13" t="str">
        <f aca="false">IF(M72="","",SQRT(M72*2^$O$4))</f>
        <v/>
      </c>
      <c r="Q72" s="25" t="n">
        <v>58</v>
      </c>
      <c r="R72" s="25" t="n">
        <f aca="false">$O$8+Q72-1</f>
        <v>58</v>
      </c>
      <c r="S72" s="26" t="str">
        <f aca="false">IF(Q72&lt;=$O$7-1,($O$9/R72)^(1/($O$7-Q72)),"")</f>
        <v/>
      </c>
      <c r="T72" s="25" t="n">
        <f aca="false">IF(S72="",0,IF(R72*(S72-1)&gt;=1,1,0))</f>
        <v>0</v>
      </c>
      <c r="W72" s="24" t="n">
        <f aca="false">W71+1</f>
        <v>57</v>
      </c>
      <c r="X72" s="24" t="str">
        <f aca="false">IF(W72&gt;=$Z$7,"",IF($Z$9-$Z$8+1&lt;=$Z$7,IF($Z$8+W72&lt;=$Z$9,$Z$8+W72,""),IF(W72&lt;$Z$10,$Z$8+W72,ROUND($Z$11*$Z$12^(W72-$Z$10+1),0))))</f>
        <v/>
      </c>
      <c r="Y72" s="24" t="str">
        <f aca="false">IF(X72="","",X72-X71)</f>
        <v/>
      </c>
      <c r="Z72" s="13" t="str">
        <f aca="false">IF(X72="","",SQRT(X72*2^$Z$4))</f>
        <v/>
      </c>
      <c r="AB72" s="25" t="n">
        <v>58</v>
      </c>
      <c r="AC72" s="25" t="n">
        <f aca="false">$Z$8+AB72-1</f>
        <v>61</v>
      </c>
      <c r="AD72" s="26" t="str">
        <f aca="false">IF(AB72&lt;=$Z$7-1,($Z$9/AC72)^(1/($Z$7-AB72)),"")</f>
        <v/>
      </c>
      <c r="AE72" s="25" t="n">
        <f aca="false">IF(AD72="",0,IF(AC72*(AD72-1)&gt;=1,1,0))</f>
        <v>0</v>
      </c>
      <c r="AH72" s="24" t="n">
        <f aca="false">AH71+1</f>
        <v>57</v>
      </c>
      <c r="AI72" s="24" t="str">
        <f aca="false">IF(AH72&gt;=$AK$7,"",IF($AK$9-$AK$8+1&lt;=$AK$7,IF($AK$8+AH72&lt;=$AK$9,$AK$8+AH72,""),IF(AH72&lt;$AK$10,$AK$8+AH72,ROUND($AK$11*$AK$12^(AH72-$AK$10+1),0))))</f>
        <v/>
      </c>
      <c r="AJ72" s="24" t="str">
        <f aca="false">IF(AI72="","",AI72-AI71)</f>
        <v/>
      </c>
      <c r="AK72" s="13" t="str">
        <f aca="false">IF(AI72="","",SQRT(AI72*2^$AK$4))</f>
        <v/>
      </c>
      <c r="AM72" s="25" t="n">
        <v>58</v>
      </c>
      <c r="AN72" s="25" t="n">
        <f aca="false">$AK$8+AM72-1</f>
        <v>61</v>
      </c>
      <c r="AO72" s="26" t="str">
        <f aca="false">IF(AM72&lt;=$AK$7-1,($AK$9/AN72)^(1/($AK$7-AM72)),"")</f>
        <v/>
      </c>
      <c r="AP72" s="25" t="n">
        <f aca="false">IF(AO72="",0,IF(AN72*(AO72-1)&gt;=1,1,0))</f>
        <v>0</v>
      </c>
    </row>
    <row r="73" customFormat="false" ht="15" hidden="false" customHeight="false" outlineLevel="0" collapsed="false">
      <c r="A73" s="13" t="str">
        <f aca="false">IF(B73="","",$J$11-J73)</f>
        <v/>
      </c>
      <c r="B73" s="22" t="str">
        <f aca="false">IF(58&lt;$O$13,INDEX($M$15:$M$74,59),IF(58&lt;$O$13+$Z$13,INDEX($X$15:$X$74,58-$O$13+1),IF(58&lt;$O$13+$Z$13+$AK$13,INDEX($AI$15:$AI$74,58-$O$13-$Z$13+1),"")))</f>
        <v/>
      </c>
      <c r="C73" s="22"/>
      <c r="D73" s="22"/>
      <c r="E73" s="22"/>
      <c r="F73" s="22"/>
      <c r="G73" s="22"/>
      <c r="H73" s="22"/>
      <c r="I73" s="23" t="n">
        <f aca="false">IF(B73="",0,SQRT(B73*2^N(A73)))</f>
        <v>0</v>
      </c>
      <c r="J73" s="12" t="str">
        <f aca="false">IF(B73="","",IF(58&lt;$O$13,$O$3,IF(58&lt;$O$13+$Z$13,$Z$3,$AK$3)))</f>
        <v/>
      </c>
      <c r="L73" s="24" t="n">
        <f aca="false">L72+1</f>
        <v>58</v>
      </c>
      <c r="M73" s="24" t="str">
        <f aca="false">IF(L73&gt;=$O$7,"",IF($O$9-$O$8+1&lt;=$O$7,IF($O$8+L73&lt;=$O$9,$O$8+L73,""),IF(L73&lt;$O$10,$O$8+L73,ROUND($O$11*$O$12^(L73-$O$10+1),0))))</f>
        <v/>
      </c>
      <c r="N73" s="24" t="str">
        <f aca="false">IF(M73="","",M73-M72)</f>
        <v/>
      </c>
      <c r="O73" s="13" t="str">
        <f aca="false">IF(M73="","",SQRT(M73*2^$O$4))</f>
        <v/>
      </c>
      <c r="Q73" s="25" t="n">
        <v>59</v>
      </c>
      <c r="R73" s="25" t="n">
        <f aca="false">$O$8+Q73-1</f>
        <v>59</v>
      </c>
      <c r="S73" s="26" t="str">
        <f aca="false">IF(Q73&lt;=$O$7-1,($O$9/R73)^(1/($O$7-Q73)),"")</f>
        <v/>
      </c>
      <c r="T73" s="25" t="n">
        <f aca="false">IF(S73="",0,IF(R73*(S73-1)&gt;=1,1,0))</f>
        <v>0</v>
      </c>
      <c r="W73" s="24" t="n">
        <f aca="false">W72+1</f>
        <v>58</v>
      </c>
      <c r="X73" s="24" t="str">
        <f aca="false">IF(W73&gt;=$Z$7,"",IF($Z$9-$Z$8+1&lt;=$Z$7,IF($Z$8+W73&lt;=$Z$9,$Z$8+W73,""),IF(W73&lt;$Z$10,$Z$8+W73,ROUND($Z$11*$Z$12^(W73-$Z$10+1),0))))</f>
        <v/>
      </c>
      <c r="Y73" s="24" t="str">
        <f aca="false">IF(X73="","",X73-X72)</f>
        <v/>
      </c>
      <c r="Z73" s="13" t="str">
        <f aca="false">IF(X73="","",SQRT(X73*2^$Z$4))</f>
        <v/>
      </c>
      <c r="AB73" s="25" t="n">
        <v>59</v>
      </c>
      <c r="AC73" s="25" t="n">
        <f aca="false">$Z$8+AB73-1</f>
        <v>62</v>
      </c>
      <c r="AD73" s="26" t="str">
        <f aca="false">IF(AB73&lt;=$Z$7-1,($Z$9/AC73)^(1/($Z$7-AB73)),"")</f>
        <v/>
      </c>
      <c r="AE73" s="25" t="n">
        <f aca="false">IF(AD73="",0,IF(AC73*(AD73-1)&gt;=1,1,0))</f>
        <v>0</v>
      </c>
      <c r="AH73" s="24" t="n">
        <f aca="false">AH72+1</f>
        <v>58</v>
      </c>
      <c r="AI73" s="24" t="str">
        <f aca="false">IF(AH73&gt;=$AK$7,"",IF($AK$9-$AK$8+1&lt;=$AK$7,IF($AK$8+AH73&lt;=$AK$9,$AK$8+AH73,""),IF(AH73&lt;$AK$10,$AK$8+AH73,ROUND($AK$11*$AK$12^(AH73-$AK$10+1),0))))</f>
        <v/>
      </c>
      <c r="AJ73" s="24" t="str">
        <f aca="false">IF(AI73="","",AI73-AI72)</f>
        <v/>
      </c>
      <c r="AK73" s="13" t="str">
        <f aca="false">IF(AI73="","",SQRT(AI73*2^$AK$4))</f>
        <v/>
      </c>
      <c r="AM73" s="25" t="n">
        <v>59</v>
      </c>
      <c r="AN73" s="25" t="n">
        <f aca="false">$AK$8+AM73-1</f>
        <v>62</v>
      </c>
      <c r="AO73" s="26" t="str">
        <f aca="false">IF(AM73&lt;=$AK$7-1,($AK$9/AN73)^(1/($AK$7-AM73)),"")</f>
        <v/>
      </c>
      <c r="AP73" s="25" t="n">
        <f aca="false">IF(AO73="",0,IF(AN73*(AO73-1)&gt;=1,1,0))</f>
        <v>0</v>
      </c>
    </row>
    <row r="74" customFormat="false" ht="15" hidden="false" customHeight="false" outlineLevel="0" collapsed="false">
      <c r="A74" s="13" t="str">
        <f aca="false">IF(B74="","",$J$11-J74)</f>
        <v/>
      </c>
      <c r="B74" s="22" t="str">
        <f aca="false">IF(59&lt;$O$13,INDEX($M$15:$M$74,60),IF(59&lt;$O$13+$Z$13,INDEX($X$15:$X$74,59-$O$13+1),IF(59&lt;$O$13+$Z$13+$AK$13,INDEX($AI$15:$AI$74,59-$O$13-$Z$13+1),"")))</f>
        <v/>
      </c>
      <c r="C74" s="22"/>
      <c r="D74" s="22"/>
      <c r="E74" s="22"/>
      <c r="F74" s="22"/>
      <c r="G74" s="22"/>
      <c r="H74" s="22"/>
      <c r="I74" s="23" t="n">
        <f aca="false">IF(B74="",0,SQRT(B74*2^N(A74)))</f>
        <v>0</v>
      </c>
      <c r="J74" s="12" t="str">
        <f aca="false">IF(B74="","",IF(59&lt;$O$13,$O$3,IF(59&lt;$O$13+$Z$13,$Z$3,$AK$3)))</f>
        <v/>
      </c>
      <c r="L74" s="24" t="n">
        <f aca="false">L73+1</f>
        <v>59</v>
      </c>
      <c r="M74" s="24" t="str">
        <f aca="false">IF(L74&gt;=$O$7,"",IF($O$9-$O$8+1&lt;=$O$7,IF($O$8+L74&lt;=$O$9,$O$8+L74,""),IF(L74&lt;$O$10,$O$8+L74,ROUND($O$11*$O$12^(L74-$O$10+1),0))))</f>
        <v/>
      </c>
      <c r="N74" s="24" t="str">
        <f aca="false">IF(M74="","",M74-M73)</f>
        <v/>
      </c>
      <c r="O74" s="13" t="str">
        <f aca="false">IF(M74="","",SQRT(M74*2^$O$4))</f>
        <v/>
      </c>
      <c r="W74" s="24" t="n">
        <f aca="false">W73+1</f>
        <v>59</v>
      </c>
      <c r="X74" s="24" t="str">
        <f aca="false">IF(W74&gt;=$Z$7,"",IF($Z$9-$Z$8+1&lt;=$Z$7,IF($Z$8+W74&lt;=$Z$9,$Z$8+W74,""),IF(W74&lt;$Z$10,$Z$8+W74,ROUND($Z$11*$Z$12^(W74-$Z$10+1),0))))</f>
        <v/>
      </c>
      <c r="Y74" s="24" t="str">
        <f aca="false">IF(X74="","",X74-X73)</f>
        <v/>
      </c>
      <c r="Z74" s="13" t="str">
        <f aca="false">IF(X74="","",SQRT(X74*2^$Z$4))</f>
        <v/>
      </c>
      <c r="AH74" s="24" t="n">
        <f aca="false">AH73+1</f>
        <v>59</v>
      </c>
      <c r="AI74" s="24" t="str">
        <f aca="false">IF(AH74&gt;=$AK$7,"",IF($AK$9-$AK$8+1&lt;=$AK$7,IF($AK$8+AH74&lt;=$AK$9,$AK$8+AH74,""),IF(AH74&lt;$AK$10,$AK$8+AH74,ROUND($AK$11*$AK$12^(AH74-$AK$10+1),0))))</f>
        <v/>
      </c>
      <c r="AJ74" s="24" t="str">
        <f aca="false">IF(AI74="","",AI74-AI73)</f>
        <v/>
      </c>
      <c r="AK74" s="13" t="str">
        <f aca="false">IF(AI74="","",SQRT(AI74*2^$AK$4))</f>
        <v/>
      </c>
    </row>
    <row r="75" customFormat="false" ht="15" hidden="false" customHeight="false" outlineLevel="0" collapsed="false">
      <c r="A75" s="13" t="str">
        <f aca="false">IF(B75="","",$J$11-J75)</f>
        <v/>
      </c>
      <c r="B75" s="22" t="str">
        <f aca="false">IF(60&lt;$O$13,INDEX($M$15:$M$74,61),IF(60&lt;$O$13+$Z$13,INDEX($X$15:$X$74,60-$O$13+1),IF(60&lt;$O$13+$Z$13+$AK$13,INDEX($AI$15:$AI$74,60-$O$13-$Z$13+1),"")))</f>
        <v/>
      </c>
      <c r="C75" s="22"/>
      <c r="D75" s="22"/>
      <c r="E75" s="22"/>
      <c r="F75" s="22"/>
      <c r="G75" s="22"/>
      <c r="H75" s="22"/>
      <c r="I75" s="23" t="n">
        <f aca="false">IF(B75="",0,SQRT(B75*2^N(A75)))</f>
        <v>0</v>
      </c>
      <c r="J75" s="12" t="str">
        <f aca="false">IF(B75="","",IF(60&lt;$O$13,$O$3,IF(60&lt;$O$13+$Z$13,$Z$3,$AK$3)))</f>
        <v/>
      </c>
    </row>
    <row r="76" customFormat="false" ht="15" hidden="false" customHeight="false" outlineLevel="0" collapsed="false">
      <c r="A76" s="13" t="str">
        <f aca="false">IF(B76="","",$J$11-J76)</f>
        <v/>
      </c>
      <c r="B76" s="22" t="str">
        <f aca="false">IF(61&lt;$O$13,INDEX($M$15:$M$74,62),IF(61&lt;$O$13+$Z$13,INDEX($X$15:$X$74,61-$O$13+1),IF(61&lt;$O$13+$Z$13+$AK$13,INDEX($AI$15:$AI$74,61-$O$13-$Z$13+1),"")))</f>
        <v/>
      </c>
      <c r="C76" s="22"/>
      <c r="D76" s="22"/>
      <c r="E76" s="22"/>
      <c r="F76" s="22"/>
      <c r="G76" s="22"/>
      <c r="H76" s="22"/>
      <c r="I76" s="23" t="n">
        <f aca="false">IF(B76="",0,SQRT(B76*2^N(A76)))</f>
        <v>0</v>
      </c>
      <c r="J76" s="12" t="str">
        <f aca="false">IF(B76="","",IF(61&lt;$O$13,$O$3,IF(61&lt;$O$13+$Z$13,$Z$3,$AK$3)))</f>
        <v/>
      </c>
    </row>
    <row r="77" customFormat="false" ht="15" hidden="false" customHeight="false" outlineLevel="0" collapsed="false">
      <c r="A77" s="13" t="str">
        <f aca="false">IF(B77="","",$J$11-J77)</f>
        <v/>
      </c>
      <c r="B77" s="22" t="str">
        <f aca="false">IF(62&lt;$O$13,INDEX($M$15:$M$74,63),IF(62&lt;$O$13+$Z$13,INDEX($X$15:$X$74,62-$O$13+1),IF(62&lt;$O$13+$Z$13+$AK$13,INDEX($AI$15:$AI$74,62-$O$13-$Z$13+1),"")))</f>
        <v/>
      </c>
      <c r="C77" s="22"/>
      <c r="D77" s="22"/>
      <c r="E77" s="22"/>
      <c r="F77" s="22"/>
      <c r="G77" s="22"/>
      <c r="H77" s="22"/>
      <c r="I77" s="23" t="n">
        <f aca="false">IF(B77="",0,SQRT(B77*2^N(A77)))</f>
        <v>0</v>
      </c>
      <c r="J77" s="12" t="str">
        <f aca="false">IF(B77="","",IF(62&lt;$O$13,$O$3,IF(62&lt;$O$13+$Z$13,$Z$3,$AK$3)))</f>
        <v/>
      </c>
    </row>
    <row r="78" customFormat="false" ht="15" hidden="false" customHeight="false" outlineLevel="0" collapsed="false">
      <c r="A78" s="13" t="str">
        <f aca="false">IF(B78="","",$J$11-J78)</f>
        <v/>
      </c>
      <c r="B78" s="22" t="str">
        <f aca="false">IF(63&lt;$O$13,INDEX($M$15:$M$74,64),IF(63&lt;$O$13+$Z$13,INDEX($X$15:$X$74,63-$O$13+1),IF(63&lt;$O$13+$Z$13+$AK$13,INDEX($AI$15:$AI$74,63-$O$13-$Z$13+1),"")))</f>
        <v/>
      </c>
      <c r="C78" s="22"/>
      <c r="D78" s="22"/>
      <c r="E78" s="22"/>
      <c r="F78" s="22"/>
      <c r="G78" s="22"/>
      <c r="H78" s="22"/>
      <c r="I78" s="23" t="n">
        <f aca="false">IF(B78="",0,SQRT(B78*2^N(A78)))</f>
        <v>0</v>
      </c>
      <c r="J78" s="12" t="str">
        <f aca="false">IF(B78="","",IF(63&lt;$O$13,$O$3,IF(63&lt;$O$13+$Z$13,$Z$3,$AK$3)))</f>
        <v/>
      </c>
    </row>
    <row r="79" customFormat="false" ht="15" hidden="false" customHeight="false" outlineLevel="0" collapsed="false">
      <c r="A79" s="13" t="str">
        <f aca="false">IF(B79="","",$J$11-J79)</f>
        <v/>
      </c>
      <c r="B79" s="22" t="str">
        <f aca="false">IF(64&lt;$O$13,INDEX($M$15:$M$74,65),IF(64&lt;$O$13+$Z$13,INDEX($X$15:$X$74,64-$O$13+1),IF(64&lt;$O$13+$Z$13+$AK$13,INDEX($AI$15:$AI$74,64-$O$13-$Z$13+1),"")))</f>
        <v/>
      </c>
      <c r="C79" s="22"/>
      <c r="D79" s="22"/>
      <c r="E79" s="22"/>
      <c r="F79" s="22"/>
      <c r="G79" s="22"/>
      <c r="H79" s="22"/>
      <c r="I79" s="23" t="n">
        <f aca="false">IF(B79="",0,SQRT(B79*2^N(A79)))</f>
        <v>0</v>
      </c>
      <c r="J79" s="12" t="str">
        <f aca="false">IF(B79="","",IF(64&lt;$O$13,$O$3,IF(64&lt;$O$13+$Z$13,$Z$3,$AK$3)))</f>
        <v/>
      </c>
    </row>
    <row r="80" customFormat="false" ht="15" hidden="false" customHeight="false" outlineLevel="0" collapsed="false">
      <c r="A80" s="13" t="str">
        <f aca="false">IF(B80="","",$J$11-J80)</f>
        <v/>
      </c>
      <c r="B80" s="22" t="str">
        <f aca="false">IF(65&lt;$O$13,INDEX($M$15:$M$74,66),IF(65&lt;$O$13+$Z$13,INDEX($X$15:$X$74,65-$O$13+1),IF(65&lt;$O$13+$Z$13+$AK$13,INDEX($AI$15:$AI$74,65-$O$13-$Z$13+1),"")))</f>
        <v/>
      </c>
      <c r="C80" s="22"/>
      <c r="D80" s="22"/>
      <c r="E80" s="22"/>
      <c r="F80" s="22"/>
      <c r="G80" s="22"/>
      <c r="H80" s="22"/>
      <c r="I80" s="23" t="n">
        <f aca="false">IF(B80="",0,SQRT(B80*2^N(A80)))</f>
        <v>0</v>
      </c>
      <c r="J80" s="12" t="str">
        <f aca="false">IF(B80="","",IF(65&lt;$O$13,$O$3,IF(65&lt;$O$13+$Z$13,$Z$3,$AK$3)))</f>
        <v/>
      </c>
    </row>
    <row r="81" customFormat="false" ht="15" hidden="false" customHeight="false" outlineLevel="0" collapsed="false">
      <c r="A81" s="13" t="str">
        <f aca="false">IF(B81="","",$J$11-J81)</f>
        <v/>
      </c>
      <c r="B81" s="22" t="str">
        <f aca="false">IF(66&lt;$O$13,INDEX($M$15:$M$74,67),IF(66&lt;$O$13+$Z$13,INDEX($X$15:$X$74,66-$O$13+1),IF(66&lt;$O$13+$Z$13+$AK$13,INDEX($AI$15:$AI$74,66-$O$13-$Z$13+1),"")))</f>
        <v/>
      </c>
      <c r="C81" s="22"/>
      <c r="D81" s="22"/>
      <c r="E81" s="22"/>
      <c r="F81" s="22"/>
      <c r="G81" s="22"/>
      <c r="H81" s="22"/>
      <c r="I81" s="23" t="n">
        <f aca="false">IF(B81="",0,SQRT(B81*2^N(A81)))</f>
        <v>0</v>
      </c>
      <c r="J81" s="12" t="str">
        <f aca="false">IF(B81="","",IF(66&lt;$O$13,$O$3,IF(66&lt;$O$13+$Z$13,$Z$3,$AK$3)))</f>
        <v/>
      </c>
    </row>
    <row r="82" customFormat="false" ht="15" hidden="false" customHeight="false" outlineLevel="0" collapsed="false">
      <c r="A82" s="13" t="str">
        <f aca="false">IF(B82="","",$J$11-J82)</f>
        <v/>
      </c>
      <c r="B82" s="22" t="str">
        <f aca="false">IF(67&lt;$O$13,INDEX($M$15:$M$74,68),IF(67&lt;$O$13+$Z$13,INDEX($X$15:$X$74,67-$O$13+1),IF(67&lt;$O$13+$Z$13+$AK$13,INDEX($AI$15:$AI$74,67-$O$13-$Z$13+1),"")))</f>
        <v/>
      </c>
      <c r="C82" s="22"/>
      <c r="D82" s="22"/>
      <c r="E82" s="22"/>
      <c r="F82" s="22"/>
      <c r="G82" s="22"/>
      <c r="H82" s="22"/>
      <c r="I82" s="23" t="n">
        <f aca="false">IF(B82="",0,SQRT(B82*2^N(A82)))</f>
        <v>0</v>
      </c>
      <c r="J82" s="12" t="str">
        <f aca="false">IF(B82="","",IF(67&lt;$O$13,$O$3,IF(67&lt;$O$13+$Z$13,$Z$3,$AK$3)))</f>
        <v/>
      </c>
    </row>
    <row r="83" customFormat="false" ht="15" hidden="false" customHeight="false" outlineLevel="0" collapsed="false">
      <c r="A83" s="13" t="str">
        <f aca="false">IF(B83="","",$J$11-J83)</f>
        <v/>
      </c>
      <c r="B83" s="22" t="str">
        <f aca="false">IF(68&lt;$O$13,INDEX($M$15:$M$74,69),IF(68&lt;$O$13+$Z$13,INDEX($X$15:$X$74,68-$O$13+1),IF(68&lt;$O$13+$Z$13+$AK$13,INDEX($AI$15:$AI$74,68-$O$13-$Z$13+1),"")))</f>
        <v/>
      </c>
      <c r="C83" s="22"/>
      <c r="D83" s="22"/>
      <c r="E83" s="22"/>
      <c r="F83" s="22"/>
      <c r="G83" s="22"/>
      <c r="H83" s="22"/>
      <c r="I83" s="23" t="n">
        <f aca="false">IF(B83="",0,SQRT(B83*2^N(A83)))</f>
        <v>0</v>
      </c>
      <c r="J83" s="12" t="str">
        <f aca="false">IF(B83="","",IF(68&lt;$O$13,$O$3,IF(68&lt;$O$13+$Z$13,$Z$3,$AK$3)))</f>
        <v/>
      </c>
    </row>
    <row r="84" customFormat="false" ht="15" hidden="false" customHeight="false" outlineLevel="0" collapsed="false">
      <c r="A84" s="13" t="str">
        <f aca="false">IF(B84="","",$J$11-J84)</f>
        <v/>
      </c>
      <c r="B84" s="22" t="str">
        <f aca="false">IF(69&lt;$O$13,INDEX($M$15:$M$74,70),IF(69&lt;$O$13+$Z$13,INDEX($X$15:$X$74,69-$O$13+1),IF(69&lt;$O$13+$Z$13+$AK$13,INDEX($AI$15:$AI$74,69-$O$13-$Z$13+1),"")))</f>
        <v/>
      </c>
      <c r="C84" s="22"/>
      <c r="D84" s="22"/>
      <c r="E84" s="22"/>
      <c r="F84" s="22"/>
      <c r="G84" s="22"/>
      <c r="H84" s="22"/>
      <c r="I84" s="23" t="n">
        <f aca="false">IF(B84="",0,SQRT(B84*2^N(A84)))</f>
        <v>0</v>
      </c>
      <c r="J84" s="12" t="str">
        <f aca="false">IF(B84="","",IF(69&lt;$O$13,$O$3,IF(69&lt;$O$13+$Z$13,$Z$3,$AK$3)))</f>
        <v/>
      </c>
    </row>
    <row r="85" customFormat="false" ht="15" hidden="false" customHeight="false" outlineLevel="0" collapsed="false">
      <c r="A85" s="13" t="str">
        <f aca="false">IF(B85="","",$J$11-J85)</f>
        <v/>
      </c>
      <c r="B85" s="22" t="str">
        <f aca="false">IF(70&lt;$O$13,INDEX($M$15:$M$74,71),IF(70&lt;$O$13+$Z$13,INDEX($X$15:$X$74,70-$O$13+1),IF(70&lt;$O$13+$Z$13+$AK$13,INDEX($AI$15:$AI$74,70-$O$13-$Z$13+1),"")))</f>
        <v/>
      </c>
      <c r="C85" s="22"/>
      <c r="D85" s="22"/>
      <c r="E85" s="22"/>
      <c r="F85" s="22"/>
      <c r="G85" s="22"/>
      <c r="H85" s="22"/>
      <c r="I85" s="23" t="n">
        <f aca="false">IF(B85="",0,SQRT(B85*2^N(A85)))</f>
        <v>0</v>
      </c>
      <c r="J85" s="12" t="str">
        <f aca="false">IF(B85="","",IF(70&lt;$O$13,$O$3,IF(70&lt;$O$13+$Z$13,$Z$3,$AK$3)))</f>
        <v/>
      </c>
    </row>
    <row r="86" customFormat="false" ht="15" hidden="false" customHeight="false" outlineLevel="0" collapsed="false">
      <c r="A86" s="13" t="str">
        <f aca="false">IF(B86="","",$J$11-J86)</f>
        <v/>
      </c>
      <c r="B86" s="22" t="str">
        <f aca="false">IF(71&lt;$O$13,INDEX($M$15:$M$74,72),IF(71&lt;$O$13+$Z$13,INDEX($X$15:$X$74,71-$O$13+1),IF(71&lt;$O$13+$Z$13+$AK$13,INDEX($AI$15:$AI$74,71-$O$13-$Z$13+1),"")))</f>
        <v/>
      </c>
      <c r="C86" s="22"/>
      <c r="D86" s="22"/>
      <c r="E86" s="22"/>
      <c r="F86" s="22"/>
      <c r="G86" s="22"/>
      <c r="H86" s="22"/>
      <c r="I86" s="23" t="n">
        <f aca="false">IF(B86="",0,SQRT(B86*2^N(A86)))</f>
        <v>0</v>
      </c>
      <c r="J86" s="12" t="str">
        <f aca="false">IF(B86="","",IF(71&lt;$O$13,$O$3,IF(71&lt;$O$13+$Z$13,$Z$3,$AK$3)))</f>
        <v/>
      </c>
    </row>
    <row r="87" customFormat="false" ht="15" hidden="false" customHeight="false" outlineLevel="0" collapsed="false">
      <c r="A87" s="13" t="str">
        <f aca="false">IF(B87="","",$J$11-J87)</f>
        <v/>
      </c>
      <c r="B87" s="22" t="str">
        <f aca="false">IF(72&lt;$O$13,INDEX($M$15:$M$74,73),IF(72&lt;$O$13+$Z$13,INDEX($X$15:$X$74,72-$O$13+1),IF(72&lt;$O$13+$Z$13+$AK$13,INDEX($AI$15:$AI$74,72-$O$13-$Z$13+1),"")))</f>
        <v/>
      </c>
      <c r="C87" s="22"/>
      <c r="D87" s="22"/>
      <c r="E87" s="22"/>
      <c r="F87" s="22"/>
      <c r="G87" s="22"/>
      <c r="H87" s="22"/>
      <c r="I87" s="23" t="n">
        <f aca="false">IF(B87="",0,SQRT(B87*2^N(A87)))</f>
        <v>0</v>
      </c>
      <c r="J87" s="12" t="str">
        <f aca="false">IF(B87="","",IF(72&lt;$O$13,$O$3,IF(72&lt;$O$13+$Z$13,$Z$3,$AK$3)))</f>
        <v/>
      </c>
    </row>
    <row r="88" customFormat="false" ht="15" hidden="false" customHeight="false" outlineLevel="0" collapsed="false">
      <c r="A88" s="13" t="str">
        <f aca="false">IF(B88="","",$J$11-J88)</f>
        <v/>
      </c>
      <c r="B88" s="22" t="str">
        <f aca="false">IF(73&lt;$O$13,INDEX($M$15:$M$74,74),IF(73&lt;$O$13+$Z$13,INDEX($X$15:$X$74,73-$O$13+1),IF(73&lt;$O$13+$Z$13+$AK$13,INDEX($AI$15:$AI$74,73-$O$13-$Z$13+1),"")))</f>
        <v/>
      </c>
      <c r="C88" s="22"/>
      <c r="D88" s="22"/>
      <c r="E88" s="22"/>
      <c r="F88" s="22"/>
      <c r="G88" s="22"/>
      <c r="H88" s="22"/>
      <c r="I88" s="23" t="n">
        <f aca="false">IF(B88="",0,SQRT(B88*2^N(A88)))</f>
        <v>0</v>
      </c>
      <c r="J88" s="12" t="str">
        <f aca="false">IF(B88="","",IF(73&lt;$O$13,$O$3,IF(73&lt;$O$13+$Z$13,$Z$3,$AK$3)))</f>
        <v/>
      </c>
    </row>
    <row r="89" customFormat="false" ht="15" hidden="false" customHeight="false" outlineLevel="0" collapsed="false">
      <c r="A89" s="13" t="str">
        <f aca="false">IF(B89="","",$J$11-J89)</f>
        <v/>
      </c>
      <c r="B89" s="22" t="str">
        <f aca="false">IF(74&lt;$O$13,INDEX($M$15:$M$74,75),IF(74&lt;$O$13+$Z$13,INDEX($X$15:$X$74,74-$O$13+1),IF(74&lt;$O$13+$Z$13+$AK$13,INDEX($AI$15:$AI$74,74-$O$13-$Z$13+1),"")))</f>
        <v/>
      </c>
      <c r="C89" s="22"/>
      <c r="D89" s="22"/>
      <c r="E89" s="22"/>
      <c r="F89" s="22"/>
      <c r="G89" s="22"/>
      <c r="H89" s="22"/>
      <c r="I89" s="23" t="n">
        <f aca="false">IF(B89="",0,SQRT(B89*2^N(A89)))</f>
        <v>0</v>
      </c>
      <c r="J89" s="12" t="str">
        <f aca="false">IF(B89="","",IF(74&lt;$O$13,$O$3,IF(74&lt;$O$13+$Z$13,$Z$3,$AK$3)))</f>
        <v/>
      </c>
    </row>
    <row r="90" customFormat="false" ht="15" hidden="false" customHeight="false" outlineLevel="0" collapsed="false">
      <c r="A90" s="13" t="str">
        <f aca="false">IF(B90="","",$J$11-J90)</f>
        <v/>
      </c>
      <c r="B90" s="22" t="str">
        <f aca="false">IF(75&lt;$O$13,INDEX($M$15:$M$74,76),IF(75&lt;$O$13+$Z$13,INDEX($X$15:$X$74,75-$O$13+1),IF(75&lt;$O$13+$Z$13+$AK$13,INDEX($AI$15:$AI$74,75-$O$13-$Z$13+1),"")))</f>
        <v/>
      </c>
      <c r="C90" s="22"/>
      <c r="D90" s="22"/>
      <c r="E90" s="22"/>
      <c r="F90" s="22"/>
      <c r="G90" s="22"/>
      <c r="H90" s="22"/>
      <c r="I90" s="23" t="n">
        <f aca="false">IF(B90="",0,SQRT(B90*2^N(A90)))</f>
        <v>0</v>
      </c>
      <c r="J90" s="12" t="str">
        <f aca="false">IF(B90="","",IF(75&lt;$O$13,$O$3,IF(75&lt;$O$13+$Z$13,$Z$3,$AK$3)))</f>
        <v/>
      </c>
    </row>
    <row r="91" customFormat="false" ht="15" hidden="false" customHeight="false" outlineLevel="0" collapsed="false">
      <c r="A91" s="13" t="str">
        <f aca="false">IF(B91="","",$J$11-J91)</f>
        <v/>
      </c>
      <c r="B91" s="22" t="str">
        <f aca="false">IF(76&lt;$O$13,INDEX($M$15:$M$74,77),IF(76&lt;$O$13+$Z$13,INDEX($X$15:$X$74,76-$O$13+1),IF(76&lt;$O$13+$Z$13+$AK$13,INDEX($AI$15:$AI$74,76-$O$13-$Z$13+1),"")))</f>
        <v/>
      </c>
      <c r="C91" s="22"/>
      <c r="D91" s="22"/>
      <c r="E91" s="22"/>
      <c r="F91" s="22"/>
      <c r="G91" s="22"/>
      <c r="H91" s="22"/>
      <c r="I91" s="23" t="n">
        <f aca="false">IF(B91="",0,SQRT(B91*2^N(A91)))</f>
        <v>0</v>
      </c>
      <c r="J91" s="12" t="str">
        <f aca="false">IF(B91="","",IF(76&lt;$O$13,$O$3,IF(76&lt;$O$13+$Z$13,$Z$3,$AK$3)))</f>
        <v/>
      </c>
    </row>
    <row r="92" customFormat="false" ht="15" hidden="false" customHeight="false" outlineLevel="0" collapsed="false">
      <c r="A92" s="13" t="str">
        <f aca="false">IF(B92="","",$J$11-J92)</f>
        <v/>
      </c>
      <c r="B92" s="22" t="str">
        <f aca="false">IF(77&lt;$O$13,INDEX($M$15:$M$74,78),IF(77&lt;$O$13+$Z$13,INDEX($X$15:$X$74,77-$O$13+1),IF(77&lt;$O$13+$Z$13+$AK$13,INDEX($AI$15:$AI$74,77-$O$13-$Z$13+1),"")))</f>
        <v/>
      </c>
      <c r="C92" s="22"/>
      <c r="D92" s="22"/>
      <c r="E92" s="22"/>
      <c r="F92" s="22"/>
      <c r="G92" s="22"/>
      <c r="H92" s="22"/>
      <c r="I92" s="23" t="n">
        <f aca="false">IF(B92="",0,SQRT(B92*2^N(A92)))</f>
        <v>0</v>
      </c>
      <c r="J92" s="12" t="str">
        <f aca="false">IF(B92="","",IF(77&lt;$O$13,$O$3,IF(77&lt;$O$13+$Z$13,$Z$3,$AK$3)))</f>
        <v/>
      </c>
    </row>
    <row r="93" customFormat="false" ht="15" hidden="false" customHeight="false" outlineLevel="0" collapsed="false">
      <c r="A93" s="13" t="str">
        <f aca="false">IF(B93="","",$J$11-J93)</f>
        <v/>
      </c>
      <c r="B93" s="22" t="str">
        <f aca="false">IF(78&lt;$O$13,INDEX($M$15:$M$74,79),IF(78&lt;$O$13+$Z$13,INDEX($X$15:$X$74,78-$O$13+1),IF(78&lt;$O$13+$Z$13+$AK$13,INDEX($AI$15:$AI$74,78-$O$13-$Z$13+1),"")))</f>
        <v/>
      </c>
      <c r="C93" s="22"/>
      <c r="D93" s="22"/>
      <c r="E93" s="22"/>
      <c r="F93" s="22"/>
      <c r="G93" s="22"/>
      <c r="H93" s="22"/>
      <c r="I93" s="23" t="n">
        <f aca="false">IF(B93="",0,SQRT(B93*2^N(A93)))</f>
        <v>0</v>
      </c>
      <c r="J93" s="12" t="str">
        <f aca="false">IF(B93="","",IF(78&lt;$O$13,$O$3,IF(78&lt;$O$13+$Z$13,$Z$3,$AK$3)))</f>
        <v/>
      </c>
    </row>
    <row r="94" customFormat="false" ht="15" hidden="false" customHeight="false" outlineLevel="0" collapsed="false">
      <c r="A94" s="13" t="str">
        <f aca="false">IF(B94="","",$J$11-J94)</f>
        <v/>
      </c>
      <c r="B94" s="22" t="str">
        <f aca="false">IF(79&lt;$O$13,INDEX($M$15:$M$74,80),IF(79&lt;$O$13+$Z$13,INDEX($X$15:$X$74,79-$O$13+1),IF(79&lt;$O$13+$Z$13+$AK$13,INDEX($AI$15:$AI$74,79-$O$13-$Z$13+1),"")))</f>
        <v/>
      </c>
      <c r="C94" s="22"/>
      <c r="D94" s="22"/>
      <c r="E94" s="22"/>
      <c r="F94" s="22"/>
      <c r="G94" s="22"/>
      <c r="H94" s="22"/>
      <c r="I94" s="23" t="n">
        <f aca="false">IF(B94="",0,SQRT(B94*2^N(A94)))</f>
        <v>0</v>
      </c>
      <c r="J94" s="12" t="str">
        <f aca="false">IF(B94="","",IF(79&lt;$O$13,$O$3,IF(79&lt;$O$13+$Z$13,$Z$3,$AK$3)))</f>
        <v/>
      </c>
    </row>
  </sheetData>
  <dataValidations count="3">
    <dataValidation allowBlank="true" error="T must be a positive number of seconds." errorStyle="warning" errorTitle="T" operator="greaterThan" showDropDown="false" showErrorMessage="false" showInputMessage="false" sqref="B15:B94" type="decimal">
      <formula1>0</formula1>
      <formula2>0</formula2>
    </dataValidation>
    <dataValidation allowBlank="true" error="Gray level: 1 (white) … 11 (black)." errorStyle="warning" errorTitle="Gray level" operator="between" showDropDown="false" showErrorMessage="false" showInputMessage="false" sqref="C15:H94" type="decimal">
      <formula1>1</formula1>
      <formula2>11</formula2>
    </dataValidation>
    <dataValidation allowBlank="false" error="Between 3 and 59 strips per level." errorStyle="warning" errorTitle="Strips" operator="between" showDropDown="false" showErrorMessage="false" showInputMessage="false" sqref="O7 Z7 AK7" type="whole">
      <formula1>3</formula1>
      <formula2>59</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4" topLeftCell="A1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8" min="2" style="0" width="9"/>
    <col collapsed="false" customWidth="true" hidden="false" outlineLevel="0" max="9" min="9" style="0" width="13"/>
    <col collapsed="false" customWidth="true" hidden="false" outlineLevel="0" max="10" min="10" style="0" width="12"/>
    <col collapsed="false" customWidth="true" hidden="false" outlineLevel="0" max="11" min="11" style="0" width="3"/>
    <col collapsed="false" customWidth="true" hidden="false" outlineLevel="0" max="12" min="12" style="0" width="5"/>
    <col collapsed="false" customWidth="true" hidden="false" outlineLevel="0" max="13" min="13" style="0" width="9"/>
    <col collapsed="false" customWidth="true" hidden="false" outlineLevel="0" max="14" min="14" style="0" width="12"/>
    <col collapsed="false" customWidth="true" hidden="false" outlineLevel="0" max="15" min="15" style="0" width="10"/>
    <col collapsed="false" customWidth="true" hidden="false" outlineLevel="0" max="16" min="16" style="0" width="2"/>
    <col collapsed="false" customWidth="true" hidden="false" outlineLevel="0" max="17" min="17" style="0" width="5"/>
    <col collapsed="false" customWidth="true" hidden="false" outlineLevel="0" max="18" min="18" style="0" width="6"/>
    <col collapsed="false" customWidth="true" hidden="false" outlineLevel="0" max="19" min="19" style="0" width="8"/>
    <col collapsed="false" customWidth="true" hidden="false" outlineLevel="0" max="20" min="20" style="0" width="4"/>
  </cols>
  <sheetData>
    <row r="1" customFormat="false" ht="17.35" hidden="false" customHeight="false" outlineLevel="0" collapsed="false">
      <c r="A1" s="6" t="s">
        <v>75</v>
      </c>
    </row>
    <row r="2" customFormat="false" ht="15" hidden="false" customHeight="false" outlineLevel="0" collapsed="false">
      <c r="A2" s="7" t="s">
        <v>28</v>
      </c>
      <c r="L2" s="8" t="s">
        <v>29</v>
      </c>
    </row>
    <row r="3" customFormat="false" ht="15" hidden="false" customHeight="false" outlineLevel="0" collapsed="false">
      <c r="A3" s="9" t="s">
        <v>30</v>
      </c>
      <c r="J3" s="10" t="n">
        <v>77</v>
      </c>
      <c r="L3" s="11" t="s">
        <v>31</v>
      </c>
      <c r="O3" s="12" t="n">
        <f aca="false">$J$8</f>
        <v>0</v>
      </c>
    </row>
    <row r="4" customFormat="false" ht="15" hidden="false" customHeight="false" outlineLevel="0" collapsed="false">
      <c r="A4" s="9" t="s">
        <v>32</v>
      </c>
      <c r="J4" s="10" t="n">
        <v>0</v>
      </c>
      <c r="L4" s="11" t="s">
        <v>33</v>
      </c>
      <c r="O4" s="13" t="n">
        <f aca="false">$J$11-$O$3</f>
        <v>-2</v>
      </c>
    </row>
    <row r="5" customFormat="false" ht="15" hidden="false" customHeight="false" outlineLevel="0" collapsed="false">
      <c r="A5" s="9" t="s">
        <v>34</v>
      </c>
      <c r="J5" s="10" t="n">
        <v>-2</v>
      </c>
      <c r="L5" s="11" t="s">
        <v>35</v>
      </c>
      <c r="O5" s="10" t="n">
        <v>0.5</v>
      </c>
    </row>
    <row r="6" customFormat="false" ht="15" hidden="false" customHeight="false" outlineLevel="0" collapsed="false">
      <c r="A6" s="9" t="s">
        <v>36</v>
      </c>
      <c r="J6" s="10" t="n">
        <v>1</v>
      </c>
      <c r="L6" s="11" t="s">
        <v>37</v>
      </c>
      <c r="O6" s="10" t="n">
        <v>8</v>
      </c>
    </row>
    <row r="7" customFormat="false" ht="15" hidden="false" customHeight="false" outlineLevel="0" collapsed="false">
      <c r="A7" s="9" t="s">
        <v>38</v>
      </c>
      <c r="J7" s="10" t="n">
        <v>0</v>
      </c>
      <c r="L7" s="11" t="s">
        <v>39</v>
      </c>
      <c r="O7" s="10" t="n">
        <v>40</v>
      </c>
    </row>
    <row r="8" customFormat="false" ht="15" hidden="false" customHeight="false" outlineLevel="0" collapsed="false">
      <c r="A8" s="9" t="s">
        <v>40</v>
      </c>
      <c r="J8" s="10" t="n">
        <v>0</v>
      </c>
      <c r="L8" s="11" t="s">
        <v>41</v>
      </c>
      <c r="O8" s="14" t="n">
        <f aca="false">MAX(1,ROUND($O$5^2/2^$O$4,0))</f>
        <v>1</v>
      </c>
    </row>
    <row r="9" customFormat="false" ht="15" hidden="false" customHeight="false" outlineLevel="0" collapsed="false">
      <c r="A9" s="9" t="s">
        <v>42</v>
      </c>
      <c r="J9" s="15" t="n">
        <f aca="false">IF(AND(J3&gt;0,J4&gt;=0,J4&lt;J3),1/LOG10(2)*LOG10(((J3-J4)/J3)^2),0)</f>
        <v>0</v>
      </c>
      <c r="L9" s="11" t="s">
        <v>43</v>
      </c>
      <c r="O9" s="14" t="n">
        <f aca="false">ROUND($O$6^2/2^$O$4,0)</f>
        <v>256</v>
      </c>
    </row>
    <row r="10" customFormat="false" ht="15" hidden="false" customHeight="false" outlineLevel="0" collapsed="false">
      <c r="A10" s="9" t="s">
        <v>44</v>
      </c>
      <c r="J10" s="15" t="n">
        <f aca="false">IF(J7&lt;0,J7*J6,J7)+J5</f>
        <v>-2</v>
      </c>
      <c r="L10" s="11" t="s">
        <v>45</v>
      </c>
      <c r="O10" s="14" t="n">
        <f aca="false">IFERROR(MATCH(1,$T$15:$T$73,0),$O$7-1)</f>
        <v>9</v>
      </c>
    </row>
    <row r="11" customFormat="false" ht="15" hidden="false" customHeight="false" outlineLevel="0" collapsed="false">
      <c r="A11" s="9" t="s">
        <v>46</v>
      </c>
      <c r="J11" s="15" t="n">
        <f aca="false">J10+J9</f>
        <v>-2</v>
      </c>
      <c r="L11" s="16" t="s">
        <v>47</v>
      </c>
      <c r="O11" s="14" t="n">
        <f aca="false">$O$8+$O$10-1</f>
        <v>9</v>
      </c>
    </row>
    <row r="12" customFormat="false" ht="15" hidden="false" customHeight="false" outlineLevel="0" collapsed="false">
      <c r="A12" s="9" t="s">
        <v>48</v>
      </c>
      <c r="J12" s="17" t="n">
        <f aca="false">IF(-2+$J$8-J9-J5&lt;0,(-2+$J$8-J9-J5)/J6,-2+$J$8-J9-J5)</f>
        <v>0</v>
      </c>
      <c r="L12" s="16" t="s">
        <v>49</v>
      </c>
      <c r="O12" s="18" t="n">
        <f aca="false">($O$9/$O$11)^(1/($O$7-$O$10))</f>
        <v>1.11404605157315</v>
      </c>
    </row>
    <row r="13" customFormat="false" ht="15" hidden="false" customHeight="false" outlineLevel="0" collapsed="false">
      <c r="L13" s="16" t="s">
        <v>50</v>
      </c>
      <c r="O13" s="14" t="n">
        <f aca="false">COUNT(M15:M74)</f>
        <v>40</v>
      </c>
    </row>
    <row r="14" customFormat="false" ht="30" hidden="false" customHeight="true" outlineLevel="0" collapsed="false">
      <c r="A14" s="19" t="s">
        <v>51</v>
      </c>
      <c r="B14" s="19" t="s">
        <v>52</v>
      </c>
      <c r="C14" s="19" t="s">
        <v>53</v>
      </c>
      <c r="D14" s="19" t="s">
        <v>54</v>
      </c>
      <c r="E14" s="19" t="s">
        <v>55</v>
      </c>
      <c r="F14" s="19" t="s">
        <v>56</v>
      </c>
      <c r="G14" s="19" t="s">
        <v>57</v>
      </c>
      <c r="H14" s="19" t="s">
        <v>58</v>
      </c>
      <c r="I14" s="19" t="s">
        <v>59</v>
      </c>
      <c r="L14" s="19" t="s">
        <v>60</v>
      </c>
      <c r="M14" s="19" t="s">
        <v>52</v>
      </c>
      <c r="N14" s="19" t="s">
        <v>61</v>
      </c>
      <c r="O14" s="19" t="s">
        <v>62</v>
      </c>
      <c r="Q14" s="20" t="s">
        <v>63</v>
      </c>
      <c r="R14" s="20" t="s">
        <v>64</v>
      </c>
      <c r="S14" s="20" t="s">
        <v>65</v>
      </c>
      <c r="T14" s="20" t="s">
        <v>66</v>
      </c>
    </row>
    <row r="15" customFormat="false" ht="15" hidden="false" customHeight="false" outlineLevel="0" collapsed="false">
      <c r="A15" s="13" t="n">
        <f aca="false">IF(B15="","",$J$11-$J$8)</f>
        <v>-2</v>
      </c>
      <c r="B15" s="22" t="n">
        <v>1</v>
      </c>
      <c r="C15" s="22" t="n">
        <v>1</v>
      </c>
      <c r="D15" s="22" t="n">
        <v>1</v>
      </c>
      <c r="E15" s="22" t="n">
        <v>1</v>
      </c>
      <c r="F15" s="22" t="n">
        <v>1</v>
      </c>
      <c r="G15" s="22" t="n">
        <v>1</v>
      </c>
      <c r="H15" s="22" t="n">
        <v>1</v>
      </c>
      <c r="I15" s="23" t="n">
        <f aca="false">IF(B15="",0,SQRT(B15*2^N(A15)))</f>
        <v>0.5</v>
      </c>
      <c r="L15" s="24" t="n">
        <v>0</v>
      </c>
      <c r="M15" s="24" t="n">
        <f aca="false">IF(L15&gt;=$O$7,"",IF($O$9-$O$8+1&lt;=$O$7,IF($O$8+L15&lt;=$O$9,$O$8+L15,""),IF(L15&lt;$O$10,$O$8+L15,ROUND($O$11*$O$12^(L15-$O$10+1),0))))</f>
        <v>1</v>
      </c>
      <c r="N15" s="24" t="n">
        <f aca="false">IF(M15="","",M15)</f>
        <v>1</v>
      </c>
      <c r="O15" s="13" t="n">
        <f aca="false">IF(M15="","",SQRT(M15*2^$O$4))</f>
        <v>0.5</v>
      </c>
      <c r="Q15" s="25" t="n">
        <v>1</v>
      </c>
      <c r="R15" s="25" t="n">
        <f aca="false">$O$8+Q15-1</f>
        <v>1</v>
      </c>
      <c r="S15" s="26" t="n">
        <f aca="false">IF(Q15&lt;=$O$7-1,($O$9/R15)^(1/($O$7-Q15)),"")</f>
        <v>1.15278878484927</v>
      </c>
      <c r="T15" s="25" t="n">
        <f aca="false">IF(S15="",0,IF(R15*(S15-1)&gt;=1,1,0))</f>
        <v>0</v>
      </c>
    </row>
    <row r="16" customFormat="false" ht="15" hidden="false" customHeight="false" outlineLevel="0" collapsed="false">
      <c r="A16" s="13" t="n">
        <f aca="false">IF(B16="","",$J$11-$J$8)</f>
        <v>-2</v>
      </c>
      <c r="B16" s="22" t="n">
        <v>2</v>
      </c>
      <c r="C16" s="22" t="n">
        <v>1</v>
      </c>
      <c r="D16" s="22" t="n">
        <v>1.2</v>
      </c>
      <c r="E16" s="22" t="n">
        <v>1</v>
      </c>
      <c r="F16" s="22" t="n">
        <v>1</v>
      </c>
      <c r="G16" s="22" t="n">
        <v>1</v>
      </c>
      <c r="H16" s="22" t="n">
        <v>1</v>
      </c>
      <c r="I16" s="23" t="n">
        <f aca="false">IF(B16="",0,SQRT(B16*2^N(A16)))</f>
        <v>0.707106781186548</v>
      </c>
      <c r="L16" s="24" t="n">
        <f aca="false">L15+1</f>
        <v>1</v>
      </c>
      <c r="M16" s="24" t="n">
        <f aca="false">IF(L16&gt;=$O$7,"",IF($O$9-$O$8+1&lt;=$O$7,IF($O$8+L16&lt;=$O$9,$O$8+L16,""),IF(L16&lt;$O$10,$O$8+L16,ROUND($O$11*$O$12^(L16-$O$10+1),0))))</f>
        <v>2</v>
      </c>
      <c r="N16" s="24" t="n">
        <f aca="false">IF(M16="","",M16-M15)</f>
        <v>1</v>
      </c>
      <c r="O16" s="13" t="n">
        <f aca="false">IF(M16="","",SQRT(M16*2^$O$4))</f>
        <v>0.707106781186548</v>
      </c>
      <c r="Q16" s="25" t="n">
        <v>2</v>
      </c>
      <c r="R16" s="25" t="n">
        <f aca="false">$O$8+Q16-1</f>
        <v>2</v>
      </c>
      <c r="S16" s="26" t="n">
        <f aca="false">IF(Q16&lt;=$O$7-1,($O$9/R16)^(1/($O$7-Q16)),"")</f>
        <v>1.13619505277369</v>
      </c>
      <c r="T16" s="25" t="n">
        <f aca="false">IF(S16="",0,IF(R16*(S16-1)&gt;=1,1,0))</f>
        <v>0</v>
      </c>
    </row>
    <row r="17" customFormat="false" ht="15" hidden="false" customHeight="false" outlineLevel="0" collapsed="false">
      <c r="A17" s="13" t="n">
        <f aca="false">IF(B17="","",$J$11-$J$8)</f>
        <v>-2</v>
      </c>
      <c r="B17" s="22" t="n">
        <v>3</v>
      </c>
      <c r="C17" s="22" t="n">
        <v>1.3</v>
      </c>
      <c r="D17" s="22" t="n">
        <v>1.4</v>
      </c>
      <c r="E17" s="22" t="n">
        <v>1</v>
      </c>
      <c r="F17" s="22" t="n">
        <v>1</v>
      </c>
      <c r="G17" s="22" t="n">
        <v>1</v>
      </c>
      <c r="H17" s="22" t="n">
        <v>1</v>
      </c>
      <c r="I17" s="23" t="n">
        <f aca="false">IF(B17="",0,SQRT(B17*2^N(A17)))</f>
        <v>0.866025403784439</v>
      </c>
      <c r="L17" s="24" t="n">
        <f aca="false">L16+1</f>
        <v>2</v>
      </c>
      <c r="M17" s="24" t="n">
        <f aca="false">IF(L17&gt;=$O$7,"",IF($O$9-$O$8+1&lt;=$O$7,IF($O$8+L17&lt;=$O$9,$O$8+L17,""),IF(L17&lt;$O$10,$O$8+L17,ROUND($O$11*$O$12^(L17-$O$10+1),0))))</f>
        <v>3</v>
      </c>
      <c r="N17" s="24" t="n">
        <f aca="false">IF(M17="","",M17-M16)</f>
        <v>1</v>
      </c>
      <c r="O17" s="13" t="n">
        <f aca="false">IF(M17="","",SQRT(M17*2^$O$4))</f>
        <v>0.866025403784439</v>
      </c>
      <c r="Q17" s="25" t="n">
        <v>3</v>
      </c>
      <c r="R17" s="25" t="n">
        <f aca="false">$O$8+Q17-1</f>
        <v>3</v>
      </c>
      <c r="S17" s="26" t="n">
        <f aca="false">IF(Q17&lt;=$O$7-1,($O$9/R17)^(1/($O$7-Q17)),"")</f>
        <v>1.12769692858631</v>
      </c>
      <c r="T17" s="25" t="n">
        <f aca="false">IF(S17="",0,IF(R17*(S17-1)&gt;=1,1,0))</f>
        <v>0</v>
      </c>
    </row>
    <row r="18" customFormat="false" ht="15" hidden="false" customHeight="false" outlineLevel="0" collapsed="false">
      <c r="A18" s="13" t="n">
        <f aca="false">IF(B18="","",$J$11-$J$8)</f>
        <v>-2</v>
      </c>
      <c r="B18" s="22" t="n">
        <v>4</v>
      </c>
      <c r="C18" s="22" t="n">
        <v>1.6</v>
      </c>
      <c r="D18" s="22" t="n">
        <v>1.6</v>
      </c>
      <c r="E18" s="22" t="n">
        <v>1</v>
      </c>
      <c r="F18" s="22" t="n">
        <v>1</v>
      </c>
      <c r="G18" s="22" t="n">
        <v>1</v>
      </c>
      <c r="H18" s="22" t="n">
        <v>1</v>
      </c>
      <c r="I18" s="23" t="n">
        <f aca="false">IF(B18="",0,SQRT(B18*2^N(A18)))</f>
        <v>1</v>
      </c>
      <c r="L18" s="24" t="n">
        <f aca="false">L17+1</f>
        <v>3</v>
      </c>
      <c r="M18" s="24" t="n">
        <f aca="false">IF(L18&gt;=$O$7,"",IF($O$9-$O$8+1&lt;=$O$7,IF($O$8+L18&lt;=$O$9,$O$8+L18,""),IF(L18&lt;$O$10,$O$8+L18,ROUND($O$11*$O$12^(L18-$O$10+1),0))))</f>
        <v>4</v>
      </c>
      <c r="N18" s="24" t="n">
        <f aca="false">IF(M18="","",M18-M17)</f>
        <v>1</v>
      </c>
      <c r="O18" s="13" t="n">
        <f aca="false">IF(M18="","",SQRT(M18*2^$O$4))</f>
        <v>1</v>
      </c>
      <c r="Q18" s="25" t="n">
        <v>4</v>
      </c>
      <c r="R18" s="25" t="n">
        <f aca="false">$O$8+Q18-1</f>
        <v>4</v>
      </c>
      <c r="S18" s="26" t="n">
        <f aca="false">IF(Q18&lt;=$O$7-1,($O$9/R18)^(1/($O$7-Q18)),"")</f>
        <v>1.12246204830937</v>
      </c>
      <c r="T18" s="25" t="n">
        <f aca="false">IF(S18="",0,IF(R18*(S18-1)&gt;=1,1,0))</f>
        <v>0</v>
      </c>
    </row>
    <row r="19" customFormat="false" ht="15" hidden="false" customHeight="false" outlineLevel="0" collapsed="false">
      <c r="A19" s="13" t="n">
        <f aca="false">IF(B19="","",$J$11-$J$8)</f>
        <v>-2</v>
      </c>
      <c r="B19" s="22" t="n">
        <v>5</v>
      </c>
      <c r="C19" s="22" t="n">
        <v>2</v>
      </c>
      <c r="D19" s="22" t="n">
        <v>1.8</v>
      </c>
      <c r="E19" s="22" t="n">
        <v>1.25</v>
      </c>
      <c r="F19" s="22" t="n">
        <v>1</v>
      </c>
      <c r="G19" s="22" t="n">
        <v>1</v>
      </c>
      <c r="H19" s="22" t="n">
        <v>1</v>
      </c>
      <c r="I19" s="23" t="n">
        <f aca="false">IF(B19="",0,SQRT(B19*2^N(A19)))</f>
        <v>1.1180339887499</v>
      </c>
      <c r="L19" s="24" t="n">
        <f aca="false">L18+1</f>
        <v>4</v>
      </c>
      <c r="M19" s="24" t="n">
        <f aca="false">IF(L19&gt;=$O$7,"",IF($O$9-$O$8+1&lt;=$O$7,IF($O$8+L19&lt;=$O$9,$O$8+L19,""),IF(L19&lt;$O$10,$O$8+L19,ROUND($O$11*$O$12^(L19-$O$10+1),0))))</f>
        <v>5</v>
      </c>
      <c r="N19" s="24" t="n">
        <f aca="false">IF(M19="","",M19-M18)</f>
        <v>1</v>
      </c>
      <c r="O19" s="13" t="n">
        <f aca="false">IF(M19="","",SQRT(M19*2^$O$4))</f>
        <v>1.1180339887499</v>
      </c>
      <c r="Q19" s="25" t="n">
        <v>5</v>
      </c>
      <c r="R19" s="25" t="n">
        <f aca="false">$O$8+Q19-1</f>
        <v>5</v>
      </c>
      <c r="S19" s="26" t="n">
        <f aca="false">IF(Q19&lt;=$O$7-1,($O$9/R19)^(1/($O$7-Q19)),"")</f>
        <v>1.11901597001846</v>
      </c>
      <c r="T19" s="25" t="n">
        <f aca="false">IF(S19="",0,IF(R19*(S19-1)&gt;=1,1,0))</f>
        <v>0</v>
      </c>
    </row>
    <row r="20" customFormat="false" ht="15" hidden="false" customHeight="false" outlineLevel="0" collapsed="false">
      <c r="A20" s="13" t="n">
        <f aca="false">IF(B20="","",$J$11-$J$8)</f>
        <v>-2</v>
      </c>
      <c r="B20" s="22" t="n">
        <v>6</v>
      </c>
      <c r="C20" s="22" t="n">
        <v>2.5</v>
      </c>
      <c r="D20" s="22" t="n">
        <v>2</v>
      </c>
      <c r="E20" s="22" t="n">
        <v>1.5</v>
      </c>
      <c r="F20" s="22" t="n">
        <v>1</v>
      </c>
      <c r="G20" s="22" t="n">
        <v>1</v>
      </c>
      <c r="H20" s="22" t="n">
        <v>1</v>
      </c>
      <c r="I20" s="23" t="n">
        <f aca="false">IF(B20="",0,SQRT(B20*2^N(A20)))</f>
        <v>1.22474487139159</v>
      </c>
      <c r="L20" s="24" t="n">
        <f aca="false">L19+1</f>
        <v>5</v>
      </c>
      <c r="M20" s="24" t="n">
        <f aca="false">IF(L20&gt;=$O$7,"",IF($O$9-$O$8+1&lt;=$O$7,IF($O$8+L20&lt;=$O$9,$O$8+L20,""),IF(L20&lt;$O$10,$O$8+L20,ROUND($O$11*$O$12^(L20-$O$10+1),0))))</f>
        <v>6</v>
      </c>
      <c r="N20" s="24" t="n">
        <f aca="false">IF(M20="","",M20-M19)</f>
        <v>1</v>
      </c>
      <c r="O20" s="13" t="n">
        <f aca="false">IF(M20="","",SQRT(M20*2^$O$4))</f>
        <v>1.22474487139159</v>
      </c>
      <c r="Q20" s="25" t="n">
        <v>6</v>
      </c>
      <c r="R20" s="25" t="n">
        <f aca="false">$O$8+Q20-1</f>
        <v>6</v>
      </c>
      <c r="S20" s="26" t="n">
        <f aca="false">IF(Q20&lt;=$O$7-1,($O$9/R20)^(1/($O$7-Q20)),"")</f>
        <v>1.11671869244288</v>
      </c>
      <c r="T20" s="25" t="n">
        <f aca="false">IF(S20="",0,IF(R20*(S20-1)&gt;=1,1,0))</f>
        <v>0</v>
      </c>
    </row>
    <row r="21" customFormat="false" ht="15" hidden="false" customHeight="false" outlineLevel="0" collapsed="false">
      <c r="A21" s="13" t="n">
        <f aca="false">IF(B21="","",$J$11-$J$8)</f>
        <v>-2</v>
      </c>
      <c r="B21" s="22" t="n">
        <v>7</v>
      </c>
      <c r="C21" s="22" t="n">
        <v>3</v>
      </c>
      <c r="D21" s="22" t="n">
        <v>2.5</v>
      </c>
      <c r="E21" s="22" t="n">
        <v>1.75</v>
      </c>
      <c r="F21" s="22" t="n">
        <v>1</v>
      </c>
      <c r="G21" s="22" t="n">
        <v>1</v>
      </c>
      <c r="H21" s="22" t="n">
        <v>1</v>
      </c>
      <c r="I21" s="23" t="n">
        <f aca="false">IF(B21="",0,SQRT(B21*2^N(A21)))</f>
        <v>1.3228756555323</v>
      </c>
      <c r="L21" s="24" t="n">
        <f aca="false">L20+1</f>
        <v>6</v>
      </c>
      <c r="M21" s="24" t="n">
        <f aca="false">IF(L21&gt;=$O$7,"",IF($O$9-$O$8+1&lt;=$O$7,IF($O$8+L21&lt;=$O$9,$O$8+L21,""),IF(L21&lt;$O$10,$O$8+L21,ROUND($O$11*$O$12^(L21-$O$10+1),0))))</f>
        <v>7</v>
      </c>
      <c r="N21" s="24" t="n">
        <f aca="false">IF(M21="","",M21-M20)</f>
        <v>1</v>
      </c>
      <c r="O21" s="13" t="n">
        <f aca="false">IF(M21="","",SQRT(M21*2^$O$4))</f>
        <v>1.3228756555323</v>
      </c>
      <c r="Q21" s="25" t="n">
        <v>7</v>
      </c>
      <c r="R21" s="25" t="n">
        <f aca="false">$O$8+Q21-1</f>
        <v>7</v>
      </c>
      <c r="S21" s="26" t="n">
        <f aca="false">IF(Q21&lt;=$O$7-1,($O$9/R21)^(1/($O$7-Q21)),"")</f>
        <v>1.11523897123097</v>
      </c>
      <c r="T21" s="25" t="n">
        <f aca="false">IF(S21="",0,IF(R21*(S21-1)&gt;=1,1,0))</f>
        <v>0</v>
      </c>
    </row>
    <row r="22" customFormat="false" ht="15" hidden="false" customHeight="false" outlineLevel="0" collapsed="false">
      <c r="A22" s="13" t="n">
        <f aca="false">IF(B22="","",$J$11-$J$8)</f>
        <v>-2</v>
      </c>
      <c r="B22" s="22" t="n">
        <v>8</v>
      </c>
      <c r="C22" s="22" t="n">
        <v>3.5</v>
      </c>
      <c r="D22" s="22" t="n">
        <v>3</v>
      </c>
      <c r="E22" s="22" t="n">
        <v>2</v>
      </c>
      <c r="F22" s="22" t="n">
        <v>1.15</v>
      </c>
      <c r="G22" s="22" t="n">
        <v>1</v>
      </c>
      <c r="H22" s="22" t="n">
        <v>1</v>
      </c>
      <c r="I22" s="23" t="n">
        <f aca="false">IF(B22="",0,SQRT(B22*2^N(A22)))</f>
        <v>1.4142135623731</v>
      </c>
      <c r="L22" s="24" t="n">
        <f aca="false">L21+1</f>
        <v>7</v>
      </c>
      <c r="M22" s="24" t="n">
        <f aca="false">IF(L22&gt;=$O$7,"",IF($O$9-$O$8+1&lt;=$O$7,IF($O$8+L22&lt;=$O$9,$O$8+L22,""),IF(L22&lt;$O$10,$O$8+L22,ROUND($O$11*$O$12^(L22-$O$10+1),0))))</f>
        <v>8</v>
      </c>
      <c r="N22" s="24" t="n">
        <f aca="false">IF(M22="","",M22-M21)</f>
        <v>1</v>
      </c>
      <c r="O22" s="13" t="n">
        <f aca="false">IF(M22="","",SQRT(M22*2^$O$4))</f>
        <v>1.4142135623731</v>
      </c>
      <c r="Q22" s="25" t="n">
        <v>8</v>
      </c>
      <c r="R22" s="25" t="n">
        <f aca="false">$O$8+Q22-1</f>
        <v>8</v>
      </c>
      <c r="S22" s="26" t="n">
        <f aca="false">IF(Q22&lt;=$O$7-1,($O$9/R22)^(1/($O$7-Q22)),"")</f>
        <v>1.11438674259589</v>
      </c>
      <c r="T22" s="25" t="n">
        <f aca="false">IF(S22="",0,IF(R22*(S22-1)&gt;=1,1,0))</f>
        <v>0</v>
      </c>
    </row>
    <row r="23" customFormat="false" ht="15" hidden="false" customHeight="false" outlineLevel="0" collapsed="false">
      <c r="A23" s="13" t="n">
        <f aca="false">IF(B23="","",$J$11-$J$8)</f>
        <v>-2</v>
      </c>
      <c r="B23" s="22" t="n">
        <v>9</v>
      </c>
      <c r="C23" s="22" t="n">
        <v>4</v>
      </c>
      <c r="D23" s="22" t="n">
        <v>3.5</v>
      </c>
      <c r="E23" s="22" t="n">
        <v>2.5</v>
      </c>
      <c r="F23" s="22" t="n">
        <v>1.3</v>
      </c>
      <c r="G23" s="22" t="n">
        <v>1.2</v>
      </c>
      <c r="H23" s="22" t="n">
        <v>1.2</v>
      </c>
      <c r="I23" s="23" t="n">
        <f aca="false">IF(B23="",0,SQRT(B23*2^N(A23)))</f>
        <v>1.5</v>
      </c>
      <c r="L23" s="24" t="n">
        <f aca="false">L22+1</f>
        <v>8</v>
      </c>
      <c r="M23" s="24" t="n">
        <f aca="false">IF(L23&gt;=$O$7,"",IF($O$9-$O$8+1&lt;=$O$7,IF($O$8+L23&lt;=$O$9,$O$8+L23,""),IF(L23&lt;$O$10,$O$8+L23,ROUND($O$11*$O$12^(L23-$O$10+1),0))))</f>
        <v>9</v>
      </c>
      <c r="N23" s="24" t="n">
        <f aca="false">IF(M23="","",M23-M22)</f>
        <v>1</v>
      </c>
      <c r="O23" s="13" t="n">
        <f aca="false">IF(M23="","",SQRT(M23*2^$O$4))</f>
        <v>1.5</v>
      </c>
      <c r="Q23" s="25" t="n">
        <v>9</v>
      </c>
      <c r="R23" s="25" t="n">
        <f aca="false">$O$8+Q23-1</f>
        <v>9</v>
      </c>
      <c r="S23" s="26" t="n">
        <f aca="false">IF(Q23&lt;=$O$7-1,($O$9/R23)^(1/($O$7-Q23)),"")</f>
        <v>1.11404605157315</v>
      </c>
      <c r="T23" s="25" t="n">
        <f aca="false">IF(S23="",0,IF(R23*(S23-1)&gt;=1,1,0))</f>
        <v>1</v>
      </c>
    </row>
    <row r="24" customFormat="false" ht="15" hidden="false" customHeight="false" outlineLevel="0" collapsed="false">
      <c r="A24" s="13" t="n">
        <f aca="false">IF(B24="","",$J$11-$J$8)</f>
        <v>-2</v>
      </c>
      <c r="B24" s="22" t="n">
        <v>10</v>
      </c>
      <c r="C24" s="22" t="n">
        <v>4.5</v>
      </c>
      <c r="D24" s="22" t="n">
        <v>4</v>
      </c>
      <c r="E24" s="22" t="n">
        <v>3</v>
      </c>
      <c r="F24" s="22" t="n">
        <v>1.45</v>
      </c>
      <c r="G24" s="22" t="n">
        <v>1.4</v>
      </c>
      <c r="H24" s="22" t="n">
        <v>1.4</v>
      </c>
      <c r="I24" s="23" t="n">
        <f aca="false">IF(B24="",0,SQRT(B24*2^N(A24)))</f>
        <v>1.58113883008419</v>
      </c>
      <c r="L24" s="24" t="n">
        <f aca="false">L23+1</f>
        <v>9</v>
      </c>
      <c r="M24" s="24" t="n">
        <f aca="false">IF(L24&gt;=$O$7,"",IF($O$9-$O$8+1&lt;=$O$7,IF($O$8+L24&lt;=$O$9,$O$8+L24,""),IF(L24&lt;$O$10,$O$8+L24,ROUND($O$11*$O$12^(L24-$O$10+1),0))))</f>
        <v>10</v>
      </c>
      <c r="N24" s="24" t="n">
        <f aca="false">IF(M24="","",M24-M23)</f>
        <v>1</v>
      </c>
      <c r="O24" s="13" t="n">
        <f aca="false">IF(M24="","",SQRT(M24*2^$O$4))</f>
        <v>1.58113883008419</v>
      </c>
      <c r="Q24" s="25" t="n">
        <v>10</v>
      </c>
      <c r="R24" s="25" t="n">
        <f aca="false">$O$8+Q24-1</f>
        <v>10</v>
      </c>
      <c r="S24" s="26" t="n">
        <f aca="false">IF(Q24&lt;=$O$7-1,($O$9/R24)^(1/($O$7-Q24)),"")</f>
        <v>1.11414401632347</v>
      </c>
      <c r="T24" s="25" t="n">
        <f aca="false">IF(S24="",0,IF(R24*(S24-1)&gt;=1,1,0))</f>
        <v>1</v>
      </c>
    </row>
    <row r="25" customFormat="false" ht="15" hidden="false" customHeight="false" outlineLevel="0" collapsed="false">
      <c r="A25" s="13" t="n">
        <f aca="false">IF(B25="","",$J$11-$J$8)</f>
        <v>-2</v>
      </c>
      <c r="B25" s="22" t="n">
        <v>11</v>
      </c>
      <c r="C25" s="22" t="n">
        <v>5</v>
      </c>
      <c r="D25" s="22" t="n">
        <v>4.25</v>
      </c>
      <c r="E25" s="22" t="n">
        <v>3.33</v>
      </c>
      <c r="F25" s="22" t="n">
        <v>1.6</v>
      </c>
      <c r="G25" s="22" t="n">
        <v>1.6</v>
      </c>
      <c r="H25" s="22" t="n">
        <v>1.6</v>
      </c>
      <c r="I25" s="23" t="n">
        <f aca="false">IF(B25="",0,SQRT(B25*2^N(A25)))</f>
        <v>1.6583123951777</v>
      </c>
      <c r="L25" s="24" t="n">
        <f aca="false">L24+1</f>
        <v>10</v>
      </c>
      <c r="M25" s="24" t="n">
        <f aca="false">IF(L25&gt;=$O$7,"",IF($O$9-$O$8+1&lt;=$O$7,IF($O$8+L25&lt;=$O$9,$O$8+L25,""),IF(L25&lt;$O$10,$O$8+L25,ROUND($O$11*$O$12^(L25-$O$10+1),0))))</f>
        <v>11</v>
      </c>
      <c r="N25" s="24" t="n">
        <f aca="false">IF(M25="","",M25-M24)</f>
        <v>1</v>
      </c>
      <c r="O25" s="13" t="n">
        <f aca="false">IF(M25="","",SQRT(M25*2^$O$4))</f>
        <v>1.6583123951777</v>
      </c>
      <c r="Q25" s="25" t="n">
        <v>11</v>
      </c>
      <c r="R25" s="25" t="n">
        <f aca="false">$O$8+Q25-1</f>
        <v>11</v>
      </c>
      <c r="S25" s="26" t="n">
        <f aca="false">IF(Q25&lt;=$O$7-1,($O$9/R25)^(1/($O$7-Q25)),"")</f>
        <v>1.11463497144014</v>
      </c>
      <c r="T25" s="25" t="n">
        <f aca="false">IF(S25="",0,IF(R25*(S25-1)&gt;=1,1,0))</f>
        <v>1</v>
      </c>
    </row>
    <row r="26" customFormat="false" ht="15" hidden="false" customHeight="false" outlineLevel="0" collapsed="false">
      <c r="A26" s="13" t="n">
        <f aca="false">IF(B26="","",$J$11-$J$8)</f>
        <v>-2</v>
      </c>
      <c r="B26" s="22" t="n">
        <v>12</v>
      </c>
      <c r="C26" s="22" t="n">
        <v>5.15</v>
      </c>
      <c r="D26" s="22" t="n">
        <v>4.5</v>
      </c>
      <c r="E26" s="22" t="n">
        <v>3.66</v>
      </c>
      <c r="F26" s="22" t="n">
        <v>1.8</v>
      </c>
      <c r="G26" s="22" t="n">
        <v>1.8</v>
      </c>
      <c r="H26" s="22" t="n">
        <v>1.8</v>
      </c>
      <c r="I26" s="23" t="n">
        <f aca="false">IF(B26="",0,SQRT(B26*2^N(A26)))</f>
        <v>1.73205080756888</v>
      </c>
      <c r="L26" s="24" t="n">
        <f aca="false">L25+1</f>
        <v>11</v>
      </c>
      <c r="M26" s="24" t="n">
        <f aca="false">IF(L26&gt;=$O$7,"",IF($O$9-$O$8+1&lt;=$O$7,IF($O$8+L26&lt;=$O$9,$O$8+L26,""),IF(L26&lt;$O$10,$O$8+L26,ROUND($O$11*$O$12^(L26-$O$10+1),0))))</f>
        <v>12</v>
      </c>
      <c r="N26" s="24" t="n">
        <f aca="false">IF(M26="","",M26-M25)</f>
        <v>1</v>
      </c>
      <c r="O26" s="13" t="n">
        <f aca="false">IF(M26="","",SQRT(M26*2^$O$4))</f>
        <v>1.73205080756888</v>
      </c>
      <c r="Q26" s="25" t="n">
        <v>12</v>
      </c>
      <c r="R26" s="25" t="n">
        <f aca="false">$O$8+Q26-1</f>
        <v>12</v>
      </c>
      <c r="S26" s="26" t="n">
        <f aca="false">IF(Q26&lt;=$O$7-1,($O$9/R26)^(1/($O$7-Q26)),"")</f>
        <v>1.11549180181263</v>
      </c>
      <c r="T26" s="25" t="n">
        <f aca="false">IF(S26="",0,IF(R26*(S26-1)&gt;=1,1,0))</f>
        <v>1</v>
      </c>
    </row>
    <row r="27" customFormat="false" ht="15" hidden="false" customHeight="false" outlineLevel="0" collapsed="false">
      <c r="A27" s="13" t="n">
        <f aca="false">IF(B27="","",$J$11-$J$8)</f>
        <v>-2</v>
      </c>
      <c r="B27" s="22" t="n">
        <v>13</v>
      </c>
      <c r="C27" s="22" t="n">
        <v>5.3</v>
      </c>
      <c r="D27" s="22" t="n">
        <v>4.75</v>
      </c>
      <c r="E27" s="22" t="n">
        <v>4</v>
      </c>
      <c r="F27" s="22" t="n">
        <v>2</v>
      </c>
      <c r="G27" s="22" t="n">
        <v>2</v>
      </c>
      <c r="H27" s="22" t="n">
        <v>2</v>
      </c>
      <c r="I27" s="23" t="n">
        <f aca="false">IF(B27="",0,SQRT(B27*2^N(A27)))</f>
        <v>1.80277563773199</v>
      </c>
      <c r="L27" s="24" t="n">
        <f aca="false">L26+1</f>
        <v>12</v>
      </c>
      <c r="M27" s="24" t="n">
        <f aca="false">IF(L27&gt;=$O$7,"",IF($O$9-$O$8+1&lt;=$O$7,IF($O$8+L27&lt;=$O$9,$O$8+L27,""),IF(L27&lt;$O$10,$O$8+L27,ROUND($O$11*$O$12^(L27-$O$10+1),0))))</f>
        <v>14</v>
      </c>
      <c r="N27" s="24" t="n">
        <f aca="false">IF(M27="","",M27-M26)</f>
        <v>2</v>
      </c>
      <c r="O27" s="13" t="n">
        <f aca="false">IF(M27="","",SQRT(M27*2^$O$4))</f>
        <v>1.87082869338697</v>
      </c>
      <c r="Q27" s="25" t="n">
        <v>13</v>
      </c>
      <c r="R27" s="25" t="n">
        <f aca="false">$O$8+Q27-1</f>
        <v>13</v>
      </c>
      <c r="S27" s="26" t="n">
        <f aca="false">IF(Q27&lt;=$O$7-1,($O$9/R27)^(1/($O$7-Q27)),"")</f>
        <v>1.11670101683186</v>
      </c>
      <c r="T27" s="25" t="n">
        <f aca="false">IF(S27="",0,IF(R27*(S27-1)&gt;=1,1,0))</f>
        <v>1</v>
      </c>
    </row>
    <row r="28" customFormat="false" ht="15" hidden="false" customHeight="false" outlineLevel="0" collapsed="false">
      <c r="A28" s="13" t="n">
        <f aca="false">IF(B28="","",$J$11-$J$8)</f>
        <v>-2</v>
      </c>
      <c r="B28" s="22" t="n">
        <v>14</v>
      </c>
      <c r="C28" s="22" t="n">
        <v>5.45</v>
      </c>
      <c r="D28" s="22" t="n">
        <v>5</v>
      </c>
      <c r="E28" s="22" t="n">
        <v>4.2</v>
      </c>
      <c r="F28" s="22" t="n">
        <v>2.33</v>
      </c>
      <c r="G28" s="22" t="n">
        <v>2.25</v>
      </c>
      <c r="H28" s="22" t="n">
        <v>2.33</v>
      </c>
      <c r="I28" s="23" t="n">
        <f aca="false">IF(B28="",0,SQRT(B28*2^N(A28)))</f>
        <v>1.87082869338697</v>
      </c>
      <c r="L28" s="24" t="n">
        <f aca="false">L27+1</f>
        <v>13</v>
      </c>
      <c r="M28" s="24" t="n">
        <f aca="false">IF(L28&gt;=$O$7,"",IF($O$9-$O$8+1&lt;=$O$7,IF($O$8+L28&lt;=$O$9,$O$8+L28,""),IF(L28&lt;$O$10,$O$8+L28,ROUND($O$11*$O$12^(L28-$O$10+1),0))))</f>
        <v>15</v>
      </c>
      <c r="N28" s="24" t="n">
        <f aca="false">IF(M28="","",M28-M27)</f>
        <v>1</v>
      </c>
      <c r="O28" s="13" t="n">
        <f aca="false">IF(M28="","",SQRT(M28*2^$O$4))</f>
        <v>1.93649167310371</v>
      </c>
      <c r="Q28" s="25" t="n">
        <v>14</v>
      </c>
      <c r="R28" s="25" t="n">
        <f aca="false">$O$8+Q28-1</f>
        <v>14</v>
      </c>
      <c r="S28" s="26" t="n">
        <f aca="false">IF(Q28&lt;=$O$7-1,($O$9/R28)^(1/($O$7-Q28)),"")</f>
        <v>1.11825993820128</v>
      </c>
      <c r="T28" s="25" t="n">
        <f aca="false">IF(S28="",0,IF(R28*(S28-1)&gt;=1,1,0))</f>
        <v>1</v>
      </c>
    </row>
    <row r="29" customFormat="false" ht="15" hidden="false" customHeight="false" outlineLevel="0" collapsed="false">
      <c r="A29" s="13" t="n">
        <f aca="false">IF(B29="","",$J$11-$J$8)</f>
        <v>-2</v>
      </c>
      <c r="B29" s="22" t="n">
        <v>15</v>
      </c>
      <c r="C29" s="22" t="n">
        <v>5.6</v>
      </c>
      <c r="D29" s="22" t="n">
        <v>5.33</v>
      </c>
      <c r="E29" s="22" t="n">
        <v>4.4</v>
      </c>
      <c r="F29" s="22" t="n">
        <v>2.66</v>
      </c>
      <c r="G29" s="22" t="n">
        <v>2.5</v>
      </c>
      <c r="H29" s="22" t="n">
        <v>2.66</v>
      </c>
      <c r="I29" s="23" t="n">
        <f aca="false">IF(B29="",0,SQRT(B29*2^N(A29)))</f>
        <v>1.93649167310371</v>
      </c>
      <c r="L29" s="24" t="n">
        <f aca="false">L28+1</f>
        <v>14</v>
      </c>
      <c r="M29" s="24" t="n">
        <f aca="false">IF(L29&gt;=$O$7,"",IF($O$9-$O$8+1&lt;=$O$7,IF($O$8+L29&lt;=$O$9,$O$8+L29,""),IF(L29&lt;$O$10,$O$8+L29,ROUND($O$11*$O$12^(L29-$O$10+1),0))))</f>
        <v>17</v>
      </c>
      <c r="N29" s="24" t="n">
        <f aca="false">IF(M29="","",M29-M28)</f>
        <v>2</v>
      </c>
      <c r="O29" s="13" t="n">
        <f aca="false">IF(M29="","",SQRT(M29*2^$O$4))</f>
        <v>2.06155281280883</v>
      </c>
      <c r="Q29" s="25" t="n">
        <v>15</v>
      </c>
      <c r="R29" s="25" t="n">
        <f aca="false">$O$8+Q29-1</f>
        <v>15</v>
      </c>
      <c r="S29" s="26" t="n">
        <f aca="false">IF(Q29&lt;=$O$7-1,($O$9/R29)^(1/($O$7-Q29)),"")</f>
        <v>1.12017518665909</v>
      </c>
      <c r="T29" s="25" t="n">
        <f aca="false">IF(S29="",0,IF(R29*(S29-1)&gt;=1,1,0))</f>
        <v>1</v>
      </c>
    </row>
    <row r="30" customFormat="false" ht="15" hidden="false" customHeight="false" outlineLevel="0" collapsed="false">
      <c r="A30" s="13" t="n">
        <f aca="false">IF(B30="","",$J$11-$J$8)</f>
        <v>-2</v>
      </c>
      <c r="B30" s="22" t="n">
        <v>17</v>
      </c>
      <c r="C30" s="22" t="n">
        <v>5.75</v>
      </c>
      <c r="D30" s="22" t="n">
        <v>5.66</v>
      </c>
      <c r="E30" s="22" t="n">
        <v>4.6</v>
      </c>
      <c r="F30" s="22" t="n">
        <v>3</v>
      </c>
      <c r="G30" s="22" t="n">
        <v>2.75</v>
      </c>
      <c r="H30" s="22" t="n">
        <v>3</v>
      </c>
      <c r="I30" s="23" t="n">
        <f aca="false">IF(B30="",0,SQRT(B30*2^N(A30)))</f>
        <v>2.06155281280883</v>
      </c>
      <c r="L30" s="24" t="n">
        <f aca="false">L29+1</f>
        <v>15</v>
      </c>
      <c r="M30" s="24" t="n">
        <f aca="false">IF(L30&gt;=$O$7,"",IF($O$9-$O$8+1&lt;=$O$7,IF($O$8+L30&lt;=$O$9,$O$8+L30,""),IF(L30&lt;$O$10,$O$8+L30,ROUND($O$11*$O$12^(L30-$O$10+1),0))))</f>
        <v>19</v>
      </c>
      <c r="N30" s="24" t="n">
        <f aca="false">IF(M30="","",M30-M29)</f>
        <v>2</v>
      </c>
      <c r="O30" s="13" t="n">
        <f aca="false">IF(M30="","",SQRT(M30*2^$O$4))</f>
        <v>2.17944947177034</v>
      </c>
      <c r="Q30" s="25" t="n">
        <v>16</v>
      </c>
      <c r="R30" s="25" t="n">
        <f aca="false">$O$8+Q30-1</f>
        <v>16</v>
      </c>
      <c r="S30" s="26" t="n">
        <f aca="false">IF(Q30&lt;=$O$7-1,($O$9/R30)^(1/($O$7-Q30)),"")</f>
        <v>1.12246204830937</v>
      </c>
      <c r="T30" s="25" t="n">
        <f aca="false">IF(S30="",0,IF(R30*(S30-1)&gt;=1,1,0))</f>
        <v>1</v>
      </c>
    </row>
    <row r="31" customFormat="false" ht="15" hidden="false" customHeight="false" outlineLevel="0" collapsed="false">
      <c r="A31" s="13" t="n">
        <f aca="false">IF(B31="","",$J$11-$J$8)</f>
        <v>-2</v>
      </c>
      <c r="B31" s="22" t="n">
        <v>19</v>
      </c>
      <c r="C31" s="22" t="n">
        <v>5.9</v>
      </c>
      <c r="D31" s="22" t="n">
        <v>6</v>
      </c>
      <c r="E31" s="22" t="n">
        <v>4.8</v>
      </c>
      <c r="F31" s="22" t="n">
        <v>3.33</v>
      </c>
      <c r="G31" s="22" t="n">
        <v>3</v>
      </c>
      <c r="H31" s="22" t="n">
        <v>4</v>
      </c>
      <c r="I31" s="23" t="n">
        <f aca="false">IF(B31="",0,SQRT(B31*2^N(A31)))</f>
        <v>2.17944947177034</v>
      </c>
      <c r="L31" s="24" t="n">
        <f aca="false">L30+1</f>
        <v>16</v>
      </c>
      <c r="M31" s="24" t="n">
        <f aca="false">IF(L31&gt;=$O$7,"",IF($O$9-$O$8+1&lt;=$O$7,IF($O$8+L31&lt;=$O$9,$O$8+L31,""),IF(L31&lt;$O$10,$O$8+L31,ROUND($O$11*$O$12^(L31-$O$10+1),0))))</f>
        <v>21</v>
      </c>
      <c r="N31" s="24" t="n">
        <f aca="false">IF(M31="","",M31-M30)</f>
        <v>2</v>
      </c>
      <c r="O31" s="13" t="n">
        <f aca="false">IF(M31="","",SQRT(M31*2^$O$4))</f>
        <v>2.29128784747792</v>
      </c>
      <c r="Q31" s="25" t="n">
        <v>17</v>
      </c>
      <c r="R31" s="25" t="n">
        <f aca="false">$O$8+Q31-1</f>
        <v>17</v>
      </c>
      <c r="S31" s="26" t="n">
        <f aca="false">IF(Q31&lt;=$O$7-1,($O$9/R31)^(1/($O$7-Q31)),"")</f>
        <v>1.12514451212293</v>
      </c>
      <c r="T31" s="25" t="n">
        <f aca="false">IF(S31="",0,IF(R31*(S31-1)&gt;=1,1,0))</f>
        <v>1</v>
      </c>
    </row>
    <row r="32" customFormat="false" ht="15" hidden="false" customHeight="false" outlineLevel="0" collapsed="false">
      <c r="A32" s="13" t="n">
        <f aca="false">IF(B32="","",$J$11-$J$8)</f>
        <v>-2</v>
      </c>
      <c r="B32" s="22" t="n">
        <v>21</v>
      </c>
      <c r="C32" s="22" t="n">
        <v>6</v>
      </c>
      <c r="D32" s="22" t="n">
        <v>6.33</v>
      </c>
      <c r="E32" s="22" t="n">
        <v>5</v>
      </c>
      <c r="F32" s="22" t="n">
        <v>3.66</v>
      </c>
      <c r="G32" s="22" t="n">
        <v>3.33</v>
      </c>
      <c r="H32" s="22" t="n">
        <v>5</v>
      </c>
      <c r="I32" s="23" t="n">
        <f aca="false">IF(B32="",0,SQRT(B32*2^N(A32)))</f>
        <v>2.29128784747792</v>
      </c>
      <c r="L32" s="24" t="n">
        <f aca="false">L31+1</f>
        <v>17</v>
      </c>
      <c r="M32" s="24" t="n">
        <f aca="false">IF(L32&gt;=$O$7,"",IF($O$9-$O$8+1&lt;=$O$7,IF($O$8+L32&lt;=$O$9,$O$8+L32,""),IF(L32&lt;$O$10,$O$8+L32,ROUND($O$11*$O$12^(L32-$O$10+1),0))))</f>
        <v>24</v>
      </c>
      <c r="N32" s="24" t="n">
        <f aca="false">IF(M32="","",M32-M31)</f>
        <v>3</v>
      </c>
      <c r="O32" s="13" t="n">
        <f aca="false">IF(M32="","",SQRT(M32*2^$O$4))</f>
        <v>2.44948974278318</v>
      </c>
      <c r="Q32" s="25" t="n">
        <v>18</v>
      </c>
      <c r="R32" s="25" t="n">
        <f aca="false">$O$8+Q32-1</f>
        <v>18</v>
      </c>
      <c r="S32" s="26" t="n">
        <f aca="false">IF(Q32&lt;=$O$7-1,($O$9/R32)^(1/($O$7-Q32)),"")</f>
        <v>1.12825589628242</v>
      </c>
      <c r="T32" s="25" t="n">
        <f aca="false">IF(S32="",0,IF(R32*(S32-1)&gt;=1,1,0))</f>
        <v>1</v>
      </c>
    </row>
    <row r="33" customFormat="false" ht="15" hidden="false" customHeight="false" outlineLevel="0" collapsed="false">
      <c r="A33" s="13" t="n">
        <f aca="false">IF(B33="","",$J$11-$J$8)</f>
        <v>-2</v>
      </c>
      <c r="B33" s="22" t="n">
        <v>23</v>
      </c>
      <c r="C33" s="22" t="n">
        <v>6.25</v>
      </c>
      <c r="D33" s="22" t="n">
        <v>6.66</v>
      </c>
      <c r="E33" s="22" t="n">
        <v>5.33</v>
      </c>
      <c r="F33" s="22" t="n">
        <v>4</v>
      </c>
      <c r="G33" s="22" t="n">
        <v>3.66</v>
      </c>
      <c r="H33" s="22" t="n">
        <v>6</v>
      </c>
      <c r="I33" s="23" t="n">
        <f aca="false">IF(B33="",0,SQRT(B33*2^N(A33)))</f>
        <v>2.39791576165636</v>
      </c>
      <c r="L33" s="24" t="n">
        <f aca="false">L32+1</f>
        <v>18</v>
      </c>
      <c r="M33" s="24" t="n">
        <f aca="false">IF(L33&gt;=$O$7,"",IF($O$9-$O$8+1&lt;=$O$7,IF($O$8+L33&lt;=$O$9,$O$8+L33,""),IF(L33&lt;$O$10,$O$8+L33,ROUND($O$11*$O$12^(L33-$O$10+1),0))))</f>
        <v>27</v>
      </c>
      <c r="N33" s="24" t="n">
        <f aca="false">IF(M33="","",M33-M32)</f>
        <v>3</v>
      </c>
      <c r="O33" s="13" t="n">
        <f aca="false">IF(M33="","",SQRT(M33*2^$O$4))</f>
        <v>2.59807621135332</v>
      </c>
      <c r="Q33" s="25" t="n">
        <v>19</v>
      </c>
      <c r="R33" s="25" t="n">
        <f aca="false">$O$8+Q33-1</f>
        <v>19</v>
      </c>
      <c r="S33" s="26" t="n">
        <f aca="false">IF(Q33&lt;=$O$7-1,($O$9/R33)^(1/($O$7-Q33)),"")</f>
        <v>1.13184006993578</v>
      </c>
      <c r="T33" s="25" t="n">
        <f aca="false">IF(S33="",0,IF(R33*(S33-1)&gt;=1,1,0))</f>
        <v>1</v>
      </c>
    </row>
    <row r="34" customFormat="false" ht="15" hidden="false" customHeight="false" outlineLevel="0" collapsed="false">
      <c r="A34" s="13" t="n">
        <f aca="false">IF(B34="","",$J$11-$J$8)</f>
        <v>-2</v>
      </c>
      <c r="B34" s="22" t="n">
        <v>26</v>
      </c>
      <c r="C34" s="22" t="n">
        <v>6.5</v>
      </c>
      <c r="D34" s="22" t="n">
        <v>7</v>
      </c>
      <c r="E34" s="22" t="n">
        <v>5.66</v>
      </c>
      <c r="F34" s="22" t="n">
        <v>4.5</v>
      </c>
      <c r="G34" s="22" t="n">
        <v>4</v>
      </c>
      <c r="H34" s="22" t="n">
        <v>7</v>
      </c>
      <c r="I34" s="23" t="n">
        <f aca="false">IF(B34="",0,SQRT(B34*2^N(A34)))</f>
        <v>2.54950975679639</v>
      </c>
      <c r="L34" s="24" t="n">
        <f aca="false">L33+1</f>
        <v>19</v>
      </c>
      <c r="M34" s="24" t="n">
        <f aca="false">IF(L34&gt;=$O$7,"",IF($O$9-$O$8+1&lt;=$O$7,IF($O$8+L34&lt;=$O$9,$O$8+L34,""),IF(L34&lt;$O$10,$O$8+L34,ROUND($O$11*$O$12^(L34-$O$10+1),0))))</f>
        <v>30</v>
      </c>
      <c r="N34" s="24" t="n">
        <f aca="false">IF(M34="","",M34-M33)</f>
        <v>3</v>
      </c>
      <c r="O34" s="13" t="n">
        <f aca="false">IF(M34="","",SQRT(M34*2^$O$4))</f>
        <v>2.73861278752583</v>
      </c>
      <c r="Q34" s="25" t="n">
        <v>20</v>
      </c>
      <c r="R34" s="25" t="n">
        <f aca="false">$O$8+Q34-1</f>
        <v>20</v>
      </c>
      <c r="S34" s="26" t="n">
        <f aca="false">IF(Q34&lt;=$O$7-1,($O$9/R34)^(1/($O$7-Q34)),"")</f>
        <v>1.13595335480663</v>
      </c>
      <c r="T34" s="25" t="n">
        <f aca="false">IF(S34="",0,IF(R34*(S34-1)&gt;=1,1,0))</f>
        <v>1</v>
      </c>
    </row>
    <row r="35" customFormat="false" ht="15" hidden="false" customHeight="false" outlineLevel="0" collapsed="false">
      <c r="A35" s="13" t="n">
        <f aca="false">IF(B35="","",$J$11-$J$8)</f>
        <v>-2</v>
      </c>
      <c r="B35" s="22" t="n">
        <v>29</v>
      </c>
      <c r="C35" s="22" t="n">
        <v>6.75</v>
      </c>
      <c r="D35" s="22" t="n">
        <v>7.5</v>
      </c>
      <c r="E35" s="22" t="n">
        <v>6</v>
      </c>
      <c r="F35" s="22" t="n">
        <v>5</v>
      </c>
      <c r="G35" s="22" t="n">
        <v>5</v>
      </c>
      <c r="H35" s="22" t="n">
        <v>8</v>
      </c>
      <c r="I35" s="23" t="n">
        <f aca="false">IF(B35="",0,SQRT(B35*2^N(A35)))</f>
        <v>2.69258240356725</v>
      </c>
      <c r="L35" s="24" t="n">
        <f aca="false">L34+1</f>
        <v>20</v>
      </c>
      <c r="M35" s="24" t="n">
        <f aca="false">IF(L35&gt;=$O$7,"",IF($O$9-$O$8+1&lt;=$O$7,IF($O$8+L35&lt;=$O$9,$O$8+L35,""),IF(L35&lt;$O$10,$O$8+L35,ROUND($O$11*$O$12^(L35-$O$10+1),0))))</f>
        <v>33</v>
      </c>
      <c r="N35" s="24" t="n">
        <f aca="false">IF(M35="","",M35-M34)</f>
        <v>3</v>
      </c>
      <c r="O35" s="13" t="n">
        <f aca="false">IF(M35="","",SQRT(M35*2^$O$4))</f>
        <v>2.87228132326901</v>
      </c>
      <c r="Q35" s="25" t="n">
        <v>21</v>
      </c>
      <c r="R35" s="25" t="n">
        <f aca="false">$O$8+Q35-1</f>
        <v>21</v>
      </c>
      <c r="S35" s="26" t="n">
        <f aca="false">IF(Q35&lt;=$O$7-1,($O$9/R35)^(1/($O$7-Q35)),"")</f>
        <v>1.14066727647445</v>
      </c>
      <c r="T35" s="25" t="n">
        <f aca="false">IF(S35="",0,IF(R35*(S35-1)&gt;=1,1,0))</f>
        <v>1</v>
      </c>
    </row>
    <row r="36" customFormat="false" ht="15" hidden="false" customHeight="false" outlineLevel="0" collapsed="false">
      <c r="A36" s="13" t="n">
        <f aca="false">IF(B36="","",$J$11-$J$8)</f>
        <v>-2</v>
      </c>
      <c r="B36" s="22" t="n">
        <v>32</v>
      </c>
      <c r="C36" s="22" t="n">
        <v>7</v>
      </c>
      <c r="D36" s="22" t="n">
        <v>8</v>
      </c>
      <c r="E36" s="22" t="n">
        <v>7</v>
      </c>
      <c r="F36" s="22" t="n">
        <v>5.5</v>
      </c>
      <c r="G36" s="22" t="n">
        <v>5.5</v>
      </c>
      <c r="H36" s="22" t="n">
        <v>9</v>
      </c>
      <c r="I36" s="23" t="n">
        <f aca="false">IF(B36="",0,SQRT(B36*2^N(A36)))</f>
        <v>2.82842712474619</v>
      </c>
      <c r="L36" s="24" t="n">
        <f aca="false">L35+1</f>
        <v>21</v>
      </c>
      <c r="M36" s="24" t="n">
        <f aca="false">IF(L36&gt;=$O$7,"",IF($O$9-$O$8+1&lt;=$O$7,IF($O$8+L36&lt;=$O$9,$O$8+L36,""),IF(L36&lt;$O$10,$O$8+L36,ROUND($O$11*$O$12^(L36-$O$10+1),0))))</f>
        <v>37</v>
      </c>
      <c r="N36" s="24" t="n">
        <f aca="false">IF(M36="","",M36-M35)</f>
        <v>4</v>
      </c>
      <c r="O36" s="13" t="n">
        <f aca="false">IF(M36="","",SQRT(M36*2^$O$4))</f>
        <v>3.04138126514911</v>
      </c>
      <c r="Q36" s="25" t="n">
        <v>22</v>
      </c>
      <c r="R36" s="25" t="n">
        <f aca="false">$O$8+Q36-1</f>
        <v>22</v>
      </c>
      <c r="S36" s="26" t="n">
        <f aca="false">IF(Q36&lt;=$O$7-1,($O$9/R36)^(1/($O$7-Q36)),"")</f>
        <v>1.14607244616126</v>
      </c>
      <c r="T36" s="25" t="n">
        <f aca="false">IF(S36="",0,IF(R36*(S36-1)&gt;=1,1,0))</f>
        <v>1</v>
      </c>
    </row>
    <row r="37" customFormat="false" ht="15" hidden="false" customHeight="false" outlineLevel="0" collapsed="false">
      <c r="A37" s="13" t="n">
        <f aca="false">IF(B37="","",$J$11-$J$8)</f>
        <v>-2</v>
      </c>
      <c r="B37" s="22" t="n">
        <v>36</v>
      </c>
      <c r="C37" s="22" t="n">
        <v>7.5</v>
      </c>
      <c r="D37" s="22" t="n">
        <v>9</v>
      </c>
      <c r="E37" s="22" t="n">
        <v>7.5</v>
      </c>
      <c r="F37" s="22" t="n">
        <v>6</v>
      </c>
      <c r="G37" s="22" t="n">
        <v>6</v>
      </c>
      <c r="H37" s="22" t="n">
        <v>10</v>
      </c>
      <c r="I37" s="23" t="n">
        <f aca="false">IF(B37="",0,SQRT(B37*2^N(A37)))</f>
        <v>3</v>
      </c>
      <c r="L37" s="24" t="n">
        <f aca="false">L36+1</f>
        <v>22</v>
      </c>
      <c r="M37" s="24" t="n">
        <f aca="false">IF(L37&gt;=$O$7,"",IF($O$9-$O$8+1&lt;=$O$7,IF($O$8+L37&lt;=$O$9,$O$8+L37,""),IF(L37&lt;$O$10,$O$8+L37,ROUND($O$11*$O$12^(L37-$O$10+1),0))))</f>
        <v>41</v>
      </c>
      <c r="N37" s="24" t="n">
        <f aca="false">IF(M37="","",M37-M36)</f>
        <v>4</v>
      </c>
      <c r="O37" s="13" t="n">
        <f aca="false">IF(M37="","",SQRT(M37*2^$O$4))</f>
        <v>3.20156211871642</v>
      </c>
      <c r="Q37" s="25" t="n">
        <v>23</v>
      </c>
      <c r="R37" s="25" t="n">
        <f aca="false">$O$8+Q37-1</f>
        <v>23</v>
      </c>
      <c r="S37" s="26" t="n">
        <f aca="false">IF(Q37&lt;=$O$7-1,($O$9/R37)^(1/($O$7-Q37)),"")</f>
        <v>1.15228401451783</v>
      </c>
      <c r="T37" s="25" t="n">
        <f aca="false">IF(S37="",0,IF(R37*(S37-1)&gt;=1,1,0))</f>
        <v>1</v>
      </c>
    </row>
    <row r="38" customFormat="false" ht="15" hidden="false" customHeight="false" outlineLevel="0" collapsed="false">
      <c r="A38" s="13" t="n">
        <f aca="false">IF(B38="","",$J$11-$J$8)</f>
        <v>-2</v>
      </c>
      <c r="B38" s="22" t="n">
        <v>40</v>
      </c>
      <c r="C38" s="22" t="n">
        <v>8</v>
      </c>
      <c r="D38" s="22" t="n">
        <v>9.15</v>
      </c>
      <c r="E38" s="22" t="n">
        <v>8</v>
      </c>
      <c r="F38" s="22" t="n">
        <v>6.5</v>
      </c>
      <c r="G38" s="22" t="n">
        <v>7</v>
      </c>
      <c r="H38" s="22" t="n">
        <v>10.2</v>
      </c>
      <c r="I38" s="23" t="n">
        <f aca="false">IF(B38="",0,SQRT(B38*2^N(A38)))</f>
        <v>3.16227766016838</v>
      </c>
      <c r="L38" s="24" t="n">
        <f aca="false">L37+1</f>
        <v>23</v>
      </c>
      <c r="M38" s="24" t="n">
        <f aca="false">IF(L38&gt;=$O$7,"",IF($O$9-$O$8+1&lt;=$O$7,IF($O$8+L38&lt;=$O$9,$O$8+L38,""),IF(L38&lt;$O$10,$O$8+L38,ROUND($O$11*$O$12^(L38-$O$10+1),0))))</f>
        <v>45</v>
      </c>
      <c r="N38" s="24" t="n">
        <f aca="false">IF(M38="","",M38-M37)</f>
        <v>4</v>
      </c>
      <c r="O38" s="13" t="n">
        <f aca="false">IF(M38="","",SQRT(M38*2^$O$4))</f>
        <v>3.35410196624968</v>
      </c>
      <c r="Q38" s="25" t="n">
        <v>24</v>
      </c>
      <c r="R38" s="25" t="n">
        <f aca="false">$O$8+Q38-1</f>
        <v>24</v>
      </c>
      <c r="S38" s="26" t="n">
        <f aca="false">IF(Q38&lt;=$O$7-1,($O$9/R38)^(1/($O$7-Q38)),"")</f>
        <v>1.15944938680754</v>
      </c>
      <c r="T38" s="25" t="n">
        <f aca="false">IF(S38="",0,IF(R38*(S38-1)&gt;=1,1,0))</f>
        <v>1</v>
      </c>
    </row>
    <row r="39" customFormat="false" ht="15" hidden="false" customHeight="false" outlineLevel="0" collapsed="false">
      <c r="A39" s="13" t="n">
        <f aca="false">IF(B39="","",$J$11-$J$8)</f>
        <v>-2</v>
      </c>
      <c r="B39" s="22" t="n">
        <v>45</v>
      </c>
      <c r="C39" s="22" t="n">
        <v>8.5</v>
      </c>
      <c r="D39" s="22" t="n">
        <v>9.3</v>
      </c>
      <c r="E39" s="22" t="n">
        <v>8.33</v>
      </c>
      <c r="F39" s="22" t="n">
        <v>7</v>
      </c>
      <c r="G39" s="22" t="n">
        <v>8</v>
      </c>
      <c r="H39" s="22" t="n">
        <v>10.4</v>
      </c>
      <c r="I39" s="23" t="n">
        <f aca="false">IF(B39="",0,SQRT(B39*2^N(A39)))</f>
        <v>3.35410196624968</v>
      </c>
      <c r="L39" s="24" t="n">
        <f aca="false">L38+1</f>
        <v>24</v>
      </c>
      <c r="M39" s="24" t="n">
        <f aca="false">IF(L39&gt;=$O$7,"",IF($O$9-$O$8+1&lt;=$O$7,IF($O$8+L39&lt;=$O$9,$O$8+L39,""),IF(L39&lt;$O$10,$O$8+L39,ROUND($O$11*$O$12^(L39-$O$10+1),0))))</f>
        <v>51</v>
      </c>
      <c r="N39" s="24" t="n">
        <f aca="false">IF(M39="","",M39-M38)</f>
        <v>6</v>
      </c>
      <c r="O39" s="13" t="n">
        <f aca="false">IF(M39="","",SQRT(M39*2^$O$4))</f>
        <v>3.57071421427143</v>
      </c>
      <c r="Q39" s="25" t="n">
        <v>25</v>
      </c>
      <c r="R39" s="25" t="n">
        <f aca="false">$O$8+Q39-1</f>
        <v>25</v>
      </c>
      <c r="S39" s="26" t="n">
        <f aca="false">IF(Q39&lt;=$O$7-1,($O$9/R39)^(1/($O$7-Q39)),"")</f>
        <v>1.16775928860149</v>
      </c>
      <c r="T39" s="25" t="n">
        <f aca="false">IF(S39="",0,IF(R39*(S39-1)&gt;=1,1,0))</f>
        <v>1</v>
      </c>
    </row>
    <row r="40" customFormat="false" ht="15" hidden="false" customHeight="false" outlineLevel="0" collapsed="false">
      <c r="A40" s="13" t="n">
        <f aca="false">IF(B40="","",$J$11-$J$8)</f>
        <v>-2</v>
      </c>
      <c r="B40" s="22" t="n">
        <v>50</v>
      </c>
      <c r="C40" s="22" t="n">
        <v>9</v>
      </c>
      <c r="D40" s="22" t="n">
        <v>9.45</v>
      </c>
      <c r="E40" s="22" t="n">
        <v>8.66</v>
      </c>
      <c r="F40" s="22" t="n">
        <v>8</v>
      </c>
      <c r="G40" s="22" t="n">
        <v>9</v>
      </c>
      <c r="H40" s="22" t="n">
        <v>10.6</v>
      </c>
      <c r="I40" s="23" t="n">
        <f aca="false">IF(B40="",0,SQRT(B40*2^N(A40)))</f>
        <v>3.53553390593274</v>
      </c>
      <c r="L40" s="24" t="n">
        <f aca="false">L39+1</f>
        <v>25</v>
      </c>
      <c r="M40" s="24" t="n">
        <f aca="false">IF(L40&gt;=$O$7,"",IF($O$9-$O$8+1&lt;=$O$7,IF($O$8+L40&lt;=$O$9,$O$8+L40,""),IF(L40&lt;$O$10,$O$8+L40,ROUND($O$11*$O$12^(L40-$O$10+1),0))))</f>
        <v>56</v>
      </c>
      <c r="N40" s="24" t="n">
        <f aca="false">IF(M40="","",M40-M39)</f>
        <v>5</v>
      </c>
      <c r="O40" s="13" t="n">
        <f aca="false">IF(M40="","",SQRT(M40*2^$O$4))</f>
        <v>3.74165738677394</v>
      </c>
      <c r="Q40" s="25" t="n">
        <v>26</v>
      </c>
      <c r="R40" s="25" t="n">
        <f aca="false">$O$8+Q40-1</f>
        <v>26</v>
      </c>
      <c r="S40" s="26" t="n">
        <f aca="false">IF(Q40&lt;=$O$7-1,($O$9/R40)^(1/($O$7-Q40)),"")</f>
        <v>1.17746393959281</v>
      </c>
      <c r="T40" s="25" t="n">
        <f aca="false">IF(S40="",0,IF(R40*(S40-1)&gt;=1,1,0))</f>
        <v>1</v>
      </c>
    </row>
    <row r="41" customFormat="false" ht="15" hidden="false" customHeight="false" outlineLevel="0" collapsed="false">
      <c r="A41" s="13" t="n">
        <f aca="false">IF(B41="","",$J$11-$J$8)</f>
        <v>-2</v>
      </c>
      <c r="B41" s="22" t="n">
        <v>56</v>
      </c>
      <c r="C41" s="22" t="n">
        <v>9.3</v>
      </c>
      <c r="D41" s="22" t="n">
        <v>9.6</v>
      </c>
      <c r="E41" s="22" t="n">
        <v>9</v>
      </c>
      <c r="F41" s="22" t="n">
        <v>9</v>
      </c>
      <c r="G41" s="22" t="n">
        <v>10</v>
      </c>
      <c r="H41" s="22" t="n">
        <v>10.8</v>
      </c>
      <c r="I41" s="23" t="n">
        <f aca="false">IF(B41="",0,SQRT(B41*2^N(A41)))</f>
        <v>3.74165738677394</v>
      </c>
      <c r="L41" s="24" t="n">
        <f aca="false">L40+1</f>
        <v>26</v>
      </c>
      <c r="M41" s="24" t="n">
        <f aca="false">IF(L41&gt;=$O$7,"",IF($O$9-$O$8+1&lt;=$O$7,IF($O$8+L41&lt;=$O$9,$O$8+L41,""),IF(L41&lt;$O$10,$O$8+L41,ROUND($O$11*$O$12^(L41-$O$10+1),0))))</f>
        <v>63</v>
      </c>
      <c r="N41" s="24" t="n">
        <f aca="false">IF(M41="","",M41-M40)</f>
        <v>7</v>
      </c>
      <c r="O41" s="13" t="n">
        <f aca="false">IF(M41="","",SQRT(M41*2^$O$4))</f>
        <v>3.96862696659689</v>
      </c>
      <c r="Q41" s="25" t="n">
        <v>27</v>
      </c>
      <c r="R41" s="25" t="n">
        <f aca="false">$O$8+Q41-1</f>
        <v>27</v>
      </c>
      <c r="S41" s="26" t="n">
        <f aca="false">IF(Q41&lt;=$O$7-1,($O$9/R41)^(1/($O$7-Q41)),"")</f>
        <v>1.18889725181551</v>
      </c>
      <c r="T41" s="25" t="n">
        <f aca="false">IF(S41="",0,IF(R41*(S41-1)&gt;=1,1,0))</f>
        <v>1</v>
      </c>
    </row>
    <row r="42" customFormat="false" ht="15" hidden="false" customHeight="false" outlineLevel="0" collapsed="false">
      <c r="A42" s="13" t="n">
        <f aca="false">IF(B42="","",$J$11-$J$8)</f>
        <v>-2</v>
      </c>
      <c r="B42" s="22" t="n">
        <v>63</v>
      </c>
      <c r="C42" s="22" t="n">
        <v>9.6</v>
      </c>
      <c r="D42" s="22" t="n">
        <v>9.75</v>
      </c>
      <c r="E42" s="22" t="n">
        <v>9.5</v>
      </c>
      <c r="F42" s="22" t="n">
        <v>9.2</v>
      </c>
      <c r="G42" s="22" t="n">
        <v>10.2</v>
      </c>
      <c r="H42" s="22" t="n">
        <v>11</v>
      </c>
      <c r="I42" s="23" t="n">
        <f aca="false">IF(B42="",0,SQRT(B42*2^N(A42)))</f>
        <v>3.96862696659689</v>
      </c>
      <c r="L42" s="24" t="n">
        <f aca="false">L41+1</f>
        <v>27</v>
      </c>
      <c r="M42" s="24" t="n">
        <f aca="false">IF(L42&gt;=$O$7,"",IF($O$9-$O$8+1&lt;=$O$7,IF($O$8+L42&lt;=$O$9,$O$8+L42,""),IF(L42&lt;$O$10,$O$8+L42,ROUND($O$11*$O$12^(L42-$O$10+1),0))))</f>
        <v>70</v>
      </c>
      <c r="N42" s="24" t="n">
        <f aca="false">IF(M42="","",M42-M41)</f>
        <v>7</v>
      </c>
      <c r="O42" s="13" t="n">
        <f aca="false">IF(M42="","",SQRT(M42*2^$O$4))</f>
        <v>4.18330013267038</v>
      </c>
      <c r="Q42" s="25" t="n">
        <v>28</v>
      </c>
      <c r="R42" s="25" t="n">
        <f aca="false">$O$8+Q42-1</f>
        <v>28</v>
      </c>
      <c r="S42" s="26" t="n">
        <f aca="false">IF(Q42&lt;=$O$7-1,($O$9/R42)^(1/($O$7-Q42)),"")</f>
        <v>1.20251405513573</v>
      </c>
      <c r="T42" s="25" t="n">
        <f aca="false">IF(S42="",0,IF(R42*(S42-1)&gt;=1,1,0))</f>
        <v>1</v>
      </c>
    </row>
    <row r="43" customFormat="false" ht="15" hidden="false" customHeight="false" outlineLevel="0" collapsed="false">
      <c r="A43" s="13" t="n">
        <f aca="false">IF(B43="","",$J$11-$J$8)</f>
        <v>-2</v>
      </c>
      <c r="B43" s="22" t="n">
        <v>71</v>
      </c>
      <c r="C43" s="22" t="n">
        <v>10</v>
      </c>
      <c r="D43" s="22" t="n">
        <v>9.9</v>
      </c>
      <c r="E43" s="22" t="n">
        <v>10</v>
      </c>
      <c r="F43" s="22" t="n">
        <v>9.4</v>
      </c>
      <c r="G43" s="22" t="n">
        <v>10.4</v>
      </c>
      <c r="H43" s="22" t="n">
        <v>11</v>
      </c>
      <c r="I43" s="23" t="n">
        <f aca="false">IF(B43="",0,SQRT(B43*2^N(A43)))</f>
        <v>4.21307488658818</v>
      </c>
      <c r="L43" s="24" t="n">
        <f aca="false">L42+1</f>
        <v>28</v>
      </c>
      <c r="M43" s="24" t="n">
        <f aca="false">IF(L43&gt;=$O$7,"",IF($O$9-$O$8+1&lt;=$O$7,IF($O$8+L43&lt;=$O$9,$O$8+L43,""),IF(L43&lt;$O$10,$O$8+L43,ROUND($O$11*$O$12^(L43-$O$10+1),0))))</f>
        <v>78</v>
      </c>
      <c r="N43" s="24" t="n">
        <f aca="false">IF(M43="","",M43-M42)</f>
        <v>8</v>
      </c>
      <c r="O43" s="13" t="n">
        <f aca="false">IF(M43="","",SQRT(M43*2^$O$4))</f>
        <v>4.41588043316392</v>
      </c>
      <c r="Q43" s="25" t="n">
        <v>29</v>
      </c>
      <c r="R43" s="25" t="n">
        <f aca="false">$O$8+Q43-1</f>
        <v>29</v>
      </c>
      <c r="S43" s="26" t="n">
        <f aca="false">IF(Q43&lt;=$O$7-1,($O$9/R43)^(1/($O$7-Q43)),"")</f>
        <v>1.21894927503034</v>
      </c>
      <c r="T43" s="25" t="n">
        <f aca="false">IF(S43="",0,IF(R43*(S43-1)&gt;=1,1,0))</f>
        <v>1</v>
      </c>
    </row>
    <row r="44" customFormat="false" ht="15" hidden="false" customHeight="false" outlineLevel="0" collapsed="false">
      <c r="A44" s="13" t="n">
        <f aca="false">IF(B44="","",$J$11-$J$8)</f>
        <v>-2</v>
      </c>
      <c r="B44" s="22" t="n">
        <v>80</v>
      </c>
      <c r="C44" s="22" t="n">
        <v>10.1</v>
      </c>
      <c r="D44" s="22" t="n">
        <v>10</v>
      </c>
      <c r="E44" s="22" t="n">
        <v>10</v>
      </c>
      <c r="F44" s="22" t="n">
        <v>9.6</v>
      </c>
      <c r="G44" s="22" t="n">
        <v>10.6</v>
      </c>
      <c r="H44" s="22" t="n">
        <v>11</v>
      </c>
      <c r="I44" s="23" t="n">
        <f aca="false">IF(B44="",0,SQRT(B44*2^N(A44)))</f>
        <v>4.47213595499958</v>
      </c>
      <c r="L44" s="24" t="n">
        <f aca="false">L43+1</f>
        <v>29</v>
      </c>
      <c r="M44" s="24" t="n">
        <f aca="false">IF(L44&gt;=$O$7,"",IF($O$9-$O$8+1&lt;=$O$7,IF($O$8+L44&lt;=$O$9,$O$8+L44,""),IF(L44&lt;$O$10,$O$8+L44,ROUND($O$11*$O$12^(L44-$O$10+1),0))))</f>
        <v>87</v>
      </c>
      <c r="N44" s="24" t="n">
        <f aca="false">IF(M44="","",M44-M43)</f>
        <v>9</v>
      </c>
      <c r="O44" s="13" t="n">
        <f aca="false">IF(M44="","",SQRT(M44*2^$O$4))</f>
        <v>4.66368952654441</v>
      </c>
      <c r="Q44" s="25" t="n">
        <v>30</v>
      </c>
      <c r="R44" s="25" t="n">
        <f aca="false">$O$8+Q44-1</f>
        <v>30</v>
      </c>
      <c r="S44" s="26" t="n">
        <f aca="false">IF(Q44&lt;=$O$7-1,($O$9/R44)^(1/($O$7-Q44)),"")</f>
        <v>1.23911573250827</v>
      </c>
      <c r="T44" s="25" t="n">
        <f aca="false">IF(S44="",0,IF(R44*(S44-1)&gt;=1,1,0))</f>
        <v>1</v>
      </c>
    </row>
    <row r="45" customFormat="false" ht="15" hidden="false" customHeight="false" outlineLevel="0" collapsed="false">
      <c r="A45" s="13" t="n">
        <f aca="false">IF(B45="","",$J$11-$J$8)</f>
        <v>-2</v>
      </c>
      <c r="B45" s="22" t="n">
        <v>90</v>
      </c>
      <c r="C45" s="22" t="n">
        <v>10.2</v>
      </c>
      <c r="D45" s="22" t="n">
        <v>10.1</v>
      </c>
      <c r="E45" s="22" t="n">
        <v>10.1</v>
      </c>
      <c r="F45" s="22" t="n">
        <v>9.8</v>
      </c>
      <c r="G45" s="22" t="n">
        <v>10.8</v>
      </c>
      <c r="H45" s="22" t="n">
        <v>11</v>
      </c>
      <c r="I45" s="23" t="n">
        <f aca="false">IF(B45="",0,SQRT(B45*2^N(A45)))</f>
        <v>4.74341649025257</v>
      </c>
      <c r="L45" s="24" t="n">
        <f aca="false">L44+1</f>
        <v>30</v>
      </c>
      <c r="M45" s="24" t="n">
        <f aca="false">IF(L45&gt;=$O$7,"",IF($O$9-$O$8+1&lt;=$O$7,IF($O$8+L45&lt;=$O$9,$O$8+L45,""),IF(L45&lt;$O$10,$O$8+L45,ROUND($O$11*$O$12^(L45-$O$10+1),0))))</f>
        <v>97</v>
      </c>
      <c r="N45" s="24" t="n">
        <f aca="false">IF(M45="","",M45-M44)</f>
        <v>10</v>
      </c>
      <c r="O45" s="13" t="n">
        <f aca="false">IF(M45="","",SQRT(M45*2^$O$4))</f>
        <v>4.92442890089805</v>
      </c>
      <c r="Q45" s="25" t="n">
        <v>31</v>
      </c>
      <c r="R45" s="25" t="n">
        <f aca="false">$O$8+Q45-1</f>
        <v>31</v>
      </c>
      <c r="S45" s="26" t="n">
        <f aca="false">IF(Q45&lt;=$O$7-1,($O$9/R45)^(1/($O$7-Q45)),"")</f>
        <v>1.26437343773016</v>
      </c>
      <c r="T45" s="25" t="n">
        <f aca="false">IF(S45="",0,IF(R45*(S45-1)&gt;=1,1,0))</f>
        <v>1</v>
      </c>
    </row>
    <row r="46" customFormat="false" ht="15" hidden="false" customHeight="false" outlineLevel="0" collapsed="false">
      <c r="A46" s="13" t="n">
        <f aca="false">IF(B46="","",$J$11-$J$8)</f>
        <v>-2</v>
      </c>
      <c r="B46" s="22" t="n">
        <v>101</v>
      </c>
      <c r="C46" s="22" t="n">
        <v>10.3</v>
      </c>
      <c r="D46" s="22" t="n">
        <v>10.2</v>
      </c>
      <c r="E46" s="22" t="n">
        <v>10.2</v>
      </c>
      <c r="F46" s="22" t="n">
        <v>10</v>
      </c>
      <c r="G46" s="22" t="n">
        <v>11</v>
      </c>
      <c r="H46" s="22" t="n">
        <v>11</v>
      </c>
      <c r="I46" s="23" t="n">
        <f aca="false">IF(B46="",0,SQRT(B46*2^N(A46)))</f>
        <v>5.02493781056045</v>
      </c>
      <c r="L46" s="24" t="n">
        <f aca="false">L45+1</f>
        <v>31</v>
      </c>
      <c r="M46" s="24" t="n">
        <f aca="false">IF(L46&gt;=$O$7,"",IF($O$9-$O$8+1&lt;=$O$7,IF($O$8+L46&lt;=$O$9,$O$8+L46,""),IF(L46&lt;$O$10,$O$8+L46,ROUND($O$11*$O$12^(L46-$O$10+1),0))))</f>
        <v>108</v>
      </c>
      <c r="N46" s="24" t="n">
        <f aca="false">IF(M46="","",M46-M45)</f>
        <v>11</v>
      </c>
      <c r="O46" s="13" t="n">
        <f aca="false">IF(M46="","",SQRT(M46*2^$O$4))</f>
        <v>5.19615242270663</v>
      </c>
      <c r="Q46" s="25" t="n">
        <v>32</v>
      </c>
      <c r="R46" s="25" t="n">
        <f aca="false">$O$8+Q46-1</f>
        <v>32</v>
      </c>
      <c r="S46" s="26" t="n">
        <f aca="false">IF(Q46&lt;=$O$7-1,($O$9/R46)^(1/($O$7-Q46)),"")</f>
        <v>1.29683955465101</v>
      </c>
      <c r="T46" s="25" t="n">
        <f aca="false">IF(S46="",0,IF(R46*(S46-1)&gt;=1,1,0))</f>
        <v>1</v>
      </c>
    </row>
    <row r="47" customFormat="false" ht="15" hidden="false" customHeight="false" outlineLevel="0" collapsed="false">
      <c r="A47" s="13" t="n">
        <f aca="false">IF(B47="","",$J$11-$J$8)</f>
        <v>-2</v>
      </c>
      <c r="B47" s="22" t="n">
        <v>114</v>
      </c>
      <c r="C47" s="22" t="n">
        <v>10.4</v>
      </c>
      <c r="D47" s="22" t="n">
        <v>10.3</v>
      </c>
      <c r="E47" s="22" t="n">
        <v>10.3</v>
      </c>
      <c r="F47" s="22" t="n">
        <v>10.2</v>
      </c>
      <c r="G47" s="22" t="n">
        <v>11</v>
      </c>
      <c r="H47" s="22" t="n">
        <v>11</v>
      </c>
      <c r="I47" s="23" t="n">
        <f aca="false">IF(B47="",0,SQRT(B47*2^N(A47)))</f>
        <v>5.33853912601566</v>
      </c>
      <c r="L47" s="24" t="n">
        <f aca="false">L46+1</f>
        <v>32</v>
      </c>
      <c r="M47" s="24" t="n">
        <f aca="false">IF(L47&gt;=$O$7,"",IF($O$9-$O$8+1&lt;=$O$7,IF($O$8+L47&lt;=$O$9,$O$8+L47,""),IF(L47&lt;$O$10,$O$8+L47,ROUND($O$11*$O$12^(L47-$O$10+1),0))))</f>
        <v>120</v>
      </c>
      <c r="N47" s="24" t="n">
        <f aca="false">IF(M47="","",M47-M46)</f>
        <v>12</v>
      </c>
      <c r="O47" s="13" t="n">
        <f aca="false">IF(M47="","",SQRT(M47*2^$O$4))</f>
        <v>5.47722557505166</v>
      </c>
      <c r="Q47" s="25" t="n">
        <v>33</v>
      </c>
      <c r="R47" s="25" t="n">
        <f aca="false">$O$8+Q47-1</f>
        <v>33</v>
      </c>
      <c r="S47" s="26" t="n">
        <f aca="false">IF(Q47&lt;=$O$7-1,($O$9/R47)^(1/($O$7-Q47)),"")</f>
        <v>1.3399966663279</v>
      </c>
      <c r="T47" s="25" t="n">
        <f aca="false">IF(S47="",0,IF(R47*(S47-1)&gt;=1,1,0))</f>
        <v>1</v>
      </c>
    </row>
    <row r="48" customFormat="false" ht="15" hidden="false" customHeight="false" outlineLevel="0" collapsed="false">
      <c r="A48" s="13" t="n">
        <f aca="false">IF(B48="","",$J$11-$J$8)</f>
        <v>-2</v>
      </c>
      <c r="B48" s="22" t="n">
        <v>129</v>
      </c>
      <c r="C48" s="22" t="n">
        <v>10.5</v>
      </c>
      <c r="D48" s="22" t="n">
        <v>10.4</v>
      </c>
      <c r="E48" s="22" t="n">
        <v>10.4</v>
      </c>
      <c r="F48" s="22" t="n">
        <v>10.4</v>
      </c>
      <c r="G48" s="22" t="n">
        <v>11</v>
      </c>
      <c r="H48" s="22" t="n">
        <v>11</v>
      </c>
      <c r="I48" s="23" t="n">
        <f aca="false">IF(B48="",0,SQRT(B48*2^N(A48)))</f>
        <v>5.67890834580027</v>
      </c>
      <c r="L48" s="24" t="n">
        <f aca="false">L47+1</f>
        <v>33</v>
      </c>
      <c r="M48" s="24" t="n">
        <f aca="false">IF(L48&gt;=$O$7,"",IF($O$9-$O$8+1&lt;=$O$7,IF($O$8+L48&lt;=$O$9,$O$8+L48,""),IF(L48&lt;$O$10,$O$8+L48,ROUND($O$11*$O$12^(L48-$O$10+1),0))))</f>
        <v>134</v>
      </c>
      <c r="N48" s="24" t="n">
        <f aca="false">IF(M48="","",M48-M47)</f>
        <v>14</v>
      </c>
      <c r="O48" s="13" t="n">
        <f aca="false">IF(M48="","",SQRT(M48*2^$O$4))</f>
        <v>5.78791845139511</v>
      </c>
      <c r="Q48" s="25" t="n">
        <v>34</v>
      </c>
      <c r="R48" s="25" t="n">
        <f aca="false">$O$8+Q48-1</f>
        <v>34</v>
      </c>
      <c r="S48" s="26" t="n">
        <f aca="false">IF(Q48&lt;=$O$7-1,($O$9/R48)^(1/($O$7-Q48)),"")</f>
        <v>1.39999615003706</v>
      </c>
      <c r="T48" s="25" t="n">
        <f aca="false">IF(S48="",0,IF(R48*(S48-1)&gt;=1,1,0))</f>
        <v>1</v>
      </c>
    </row>
    <row r="49" customFormat="false" ht="15" hidden="false" customHeight="false" outlineLevel="0" collapsed="false">
      <c r="A49" s="13" t="n">
        <f aca="false">IF(B49="","",$J$11-$J$8)</f>
        <v>-2</v>
      </c>
      <c r="B49" s="22" t="n">
        <v>146</v>
      </c>
      <c r="C49" s="22" t="n">
        <v>10.6</v>
      </c>
      <c r="D49" s="22" t="n">
        <v>10.5</v>
      </c>
      <c r="E49" s="22" t="n">
        <v>10.5</v>
      </c>
      <c r="F49" s="22" t="n">
        <v>10.6</v>
      </c>
      <c r="G49" s="22" t="n">
        <v>11</v>
      </c>
      <c r="H49" s="22" t="n">
        <v>11</v>
      </c>
      <c r="I49" s="23" t="n">
        <f aca="false">IF(B49="",0,SQRT(B49*2^N(A49)))</f>
        <v>6.04152298679729</v>
      </c>
      <c r="L49" s="24" t="n">
        <f aca="false">L48+1</f>
        <v>34</v>
      </c>
      <c r="M49" s="24" t="n">
        <f aca="false">IF(L49&gt;=$O$7,"",IF($O$9-$O$8+1&lt;=$O$7,IF($O$8+L49&lt;=$O$9,$O$8+L49,""),IF(L49&lt;$O$10,$O$8+L49,ROUND($O$11*$O$12^(L49-$O$10+1),0))))</f>
        <v>149</v>
      </c>
      <c r="N49" s="24" t="n">
        <f aca="false">IF(M49="","",M49-M48)</f>
        <v>15</v>
      </c>
      <c r="O49" s="13" t="n">
        <f aca="false">IF(M49="","",SQRT(M49*2^$O$4))</f>
        <v>6.10327780786685</v>
      </c>
      <c r="Q49" s="25" t="n">
        <v>35</v>
      </c>
      <c r="R49" s="25" t="n">
        <f aca="false">$O$8+Q49-1</f>
        <v>35</v>
      </c>
      <c r="S49" s="26" t="n">
        <f aca="false">IF(Q49&lt;=$O$7-1,($O$9/R49)^(1/($O$7-Q49)),"")</f>
        <v>1.48879322635077</v>
      </c>
      <c r="T49" s="25" t="n">
        <f aca="false">IF(S49="",0,IF(R49*(S49-1)&gt;=1,1,0))</f>
        <v>1</v>
      </c>
    </row>
    <row r="50" customFormat="false" ht="15" hidden="false" customHeight="false" outlineLevel="0" collapsed="false">
      <c r="A50" s="13" t="n">
        <f aca="false">IF(B50="","",$J$11-$J$8)</f>
        <v>-2</v>
      </c>
      <c r="B50" s="22" t="n">
        <v>165</v>
      </c>
      <c r="C50" s="22" t="n">
        <v>10.7</v>
      </c>
      <c r="D50" s="22" t="n">
        <v>10.6</v>
      </c>
      <c r="E50" s="22" t="n">
        <v>10.6</v>
      </c>
      <c r="F50" s="22" t="n">
        <v>10.8</v>
      </c>
      <c r="G50" s="22" t="n">
        <v>11</v>
      </c>
      <c r="H50" s="22" t="n">
        <v>11</v>
      </c>
      <c r="I50" s="23" t="n">
        <f aca="false">IF(B50="",0,SQRT(B50*2^N(A50)))</f>
        <v>6.42261628933257</v>
      </c>
      <c r="L50" s="24" t="n">
        <f aca="false">L49+1</f>
        <v>35</v>
      </c>
      <c r="M50" s="24" t="n">
        <f aca="false">IF(L50&gt;=$O$7,"",IF($O$9-$O$8+1&lt;=$O$7,IF($O$8+L50&lt;=$O$9,$O$8+L50,""),IF(L50&lt;$O$10,$O$8+L50,ROUND($O$11*$O$12^(L50-$O$10+1),0))))</f>
        <v>166</v>
      </c>
      <c r="N50" s="24" t="n">
        <f aca="false">IF(M50="","",M50-M49)</f>
        <v>17</v>
      </c>
      <c r="O50" s="13" t="n">
        <f aca="false">IF(M50="","",SQRT(M50*2^$O$4))</f>
        <v>6.44204936336256</v>
      </c>
      <c r="Q50" s="25" t="n">
        <v>36</v>
      </c>
      <c r="R50" s="25" t="n">
        <f aca="false">$O$8+Q50-1</f>
        <v>36</v>
      </c>
      <c r="S50" s="26" t="n">
        <f aca="false">IF(Q50&lt;=$O$7-1,($O$9/R50)^(1/($O$7-Q50)),"")</f>
        <v>1.63299316185545</v>
      </c>
      <c r="T50" s="25" t="n">
        <f aca="false">IF(S50="",0,IF(R50*(S50-1)&gt;=1,1,0))</f>
        <v>1</v>
      </c>
    </row>
    <row r="51" customFormat="false" ht="15" hidden="false" customHeight="false" outlineLevel="0" collapsed="false">
      <c r="A51" s="13" t="n">
        <f aca="false">IF(B51="","",$J$11-$J$8)</f>
        <v>-2</v>
      </c>
      <c r="B51" s="22" t="n">
        <v>186</v>
      </c>
      <c r="C51" s="22" t="n">
        <v>10.8</v>
      </c>
      <c r="D51" s="22" t="n">
        <v>10.7</v>
      </c>
      <c r="E51" s="22" t="n">
        <v>10.7</v>
      </c>
      <c r="F51" s="22" t="n">
        <v>11</v>
      </c>
      <c r="G51" s="22" t="n">
        <v>11</v>
      </c>
      <c r="H51" s="22" t="n">
        <v>11</v>
      </c>
      <c r="I51" s="23" t="n">
        <f aca="false">IF(B51="",0,SQRT(B51*2^N(A51)))</f>
        <v>6.81909084849293</v>
      </c>
      <c r="L51" s="24" t="n">
        <f aca="false">L50+1</f>
        <v>36</v>
      </c>
      <c r="M51" s="24" t="n">
        <f aca="false">IF(L51&gt;=$O$7,"",IF($O$9-$O$8+1&lt;=$O$7,IF($O$8+L51&lt;=$O$9,$O$8+L51,""),IF(L51&lt;$O$10,$O$8+L51,ROUND($O$11*$O$12^(L51-$O$10+1),0))))</f>
        <v>185</v>
      </c>
      <c r="N51" s="24" t="n">
        <f aca="false">IF(M51="","",M51-M50)</f>
        <v>19</v>
      </c>
      <c r="O51" s="13" t="n">
        <f aca="false">IF(M51="","",SQRT(M51*2^$O$4))</f>
        <v>6.80073525436772</v>
      </c>
      <c r="Q51" s="25" t="n">
        <v>37</v>
      </c>
      <c r="R51" s="25" t="n">
        <f aca="false">$O$8+Q51-1</f>
        <v>37</v>
      </c>
      <c r="S51" s="26" t="n">
        <f aca="false">IF(Q51&lt;=$O$7-1,($O$9/R51)^(1/($O$7-Q51)),"")</f>
        <v>1.90551664641909</v>
      </c>
      <c r="T51" s="25" t="n">
        <f aca="false">IF(S51="",0,IF(R51*(S51-1)&gt;=1,1,0))</f>
        <v>1</v>
      </c>
    </row>
    <row r="52" customFormat="false" ht="15" hidden="false" customHeight="false" outlineLevel="0" collapsed="false">
      <c r="A52" s="13" t="n">
        <f aca="false">IF(B52="","",$J$11-$J$8)</f>
        <v>-2</v>
      </c>
      <c r="B52" s="22" t="n">
        <v>210</v>
      </c>
      <c r="C52" s="22" t="n">
        <v>10.9</v>
      </c>
      <c r="D52" s="22" t="n">
        <v>10.8</v>
      </c>
      <c r="E52" s="22" t="n">
        <v>10.8</v>
      </c>
      <c r="F52" s="22" t="n">
        <v>11</v>
      </c>
      <c r="G52" s="22" t="n">
        <v>11</v>
      </c>
      <c r="H52" s="22" t="n">
        <v>11</v>
      </c>
      <c r="I52" s="23" t="n">
        <f aca="false">IF(B52="",0,SQRT(B52*2^N(A52)))</f>
        <v>7.24568837309472</v>
      </c>
      <c r="L52" s="24" t="n">
        <f aca="false">L51+1</f>
        <v>37</v>
      </c>
      <c r="M52" s="24" t="n">
        <f aca="false">IF(L52&gt;=$O$7,"",IF($O$9-$O$8+1&lt;=$O$7,IF($O$8+L52&lt;=$O$9,$O$8+L52,""),IF(L52&lt;$O$10,$O$8+L52,ROUND($O$11*$O$12^(L52-$O$10+1),0))))</f>
        <v>206</v>
      </c>
      <c r="N52" s="24" t="n">
        <f aca="false">IF(M52="","",M52-M51)</f>
        <v>21</v>
      </c>
      <c r="O52" s="13" t="n">
        <f aca="false">IF(M52="","",SQRT(M52*2^$O$4))</f>
        <v>7.17635004720366</v>
      </c>
      <c r="Q52" s="25" t="n">
        <v>38</v>
      </c>
      <c r="R52" s="25" t="n">
        <f aca="false">$O$8+Q52-1</f>
        <v>38</v>
      </c>
      <c r="S52" s="26" t="n">
        <f aca="false">IF(Q52&lt;=$O$7-1,($O$9/R52)^(1/($O$7-Q52)),"")</f>
        <v>2.5955427380922</v>
      </c>
      <c r="T52" s="25" t="n">
        <f aca="false">IF(S52="",0,IF(R52*(S52-1)&gt;=1,1,0))</f>
        <v>1</v>
      </c>
    </row>
    <row r="53" customFormat="false" ht="15" hidden="false" customHeight="false" outlineLevel="0" collapsed="false">
      <c r="A53" s="13" t="n">
        <f aca="false">IF(B53="","",$J$11-$J$8)</f>
        <v>-2</v>
      </c>
      <c r="B53" s="22" t="n">
        <v>237</v>
      </c>
      <c r="C53" s="22" t="n">
        <v>11</v>
      </c>
      <c r="D53" s="22" t="n">
        <v>10.9</v>
      </c>
      <c r="E53" s="22" t="n">
        <v>10.9</v>
      </c>
      <c r="F53" s="22" t="n">
        <v>11</v>
      </c>
      <c r="G53" s="22" t="n">
        <v>11</v>
      </c>
      <c r="H53" s="22" t="n">
        <v>11</v>
      </c>
      <c r="I53" s="23" t="n">
        <f aca="false">IF(B53="",0,SQRT(B53*2^N(A53)))</f>
        <v>7.69740215917033</v>
      </c>
      <c r="L53" s="24" t="n">
        <f aca="false">L52+1</f>
        <v>38</v>
      </c>
      <c r="M53" s="24" t="n">
        <f aca="false">IF(L53&gt;=$O$7,"",IF($O$9-$O$8+1&lt;=$O$7,IF($O$8+L53&lt;=$O$9,$O$8+L53,""),IF(L53&lt;$O$10,$O$8+L53,ROUND($O$11*$O$12^(L53-$O$10+1),0))))</f>
        <v>230</v>
      </c>
      <c r="N53" s="24" t="n">
        <f aca="false">IF(M53="","",M53-M52)</f>
        <v>24</v>
      </c>
      <c r="O53" s="13" t="n">
        <f aca="false">IF(M53="","",SQRT(M53*2^$O$4))</f>
        <v>7.58287544405155</v>
      </c>
      <c r="Q53" s="25" t="n">
        <v>39</v>
      </c>
      <c r="R53" s="25" t="n">
        <f aca="false">$O$8+Q53-1</f>
        <v>39</v>
      </c>
      <c r="S53" s="26" t="n">
        <f aca="false">IF(Q53&lt;=$O$7-1,($O$9/R53)^(1/($O$7-Q53)),"")</f>
        <v>6.56410256410256</v>
      </c>
      <c r="T53" s="25" t="n">
        <f aca="false">IF(S53="",0,IF(R53*(S53-1)&gt;=1,1,0))</f>
        <v>1</v>
      </c>
    </row>
    <row r="54" customFormat="false" ht="15" hidden="false" customHeight="false" outlineLevel="0" collapsed="false">
      <c r="A54" s="13" t="n">
        <f aca="false">IF(B54="","",$J$11-$J$8)</f>
        <v>-2</v>
      </c>
      <c r="B54" s="22" t="n">
        <v>268</v>
      </c>
      <c r="C54" s="22" t="n">
        <v>11</v>
      </c>
      <c r="D54" s="22" t="n">
        <v>11</v>
      </c>
      <c r="E54" s="22" t="n">
        <v>11</v>
      </c>
      <c r="F54" s="22" t="n">
        <v>11</v>
      </c>
      <c r="G54" s="22" t="n">
        <v>11</v>
      </c>
      <c r="H54" s="22" t="n">
        <v>11</v>
      </c>
      <c r="I54" s="23" t="n">
        <f aca="false">IF(B54="",0,SQRT(B54*2^N(A54)))</f>
        <v>8.18535277187245</v>
      </c>
      <c r="L54" s="24" t="n">
        <f aca="false">L53+1</f>
        <v>39</v>
      </c>
      <c r="M54" s="24" t="n">
        <f aca="false">IF(L54&gt;=$O$7,"",IF($O$9-$O$8+1&lt;=$O$7,IF($O$8+L54&lt;=$O$9,$O$8+L54,""),IF(L54&lt;$O$10,$O$8+L54,ROUND($O$11*$O$12^(L54-$O$10+1),0))))</f>
        <v>256</v>
      </c>
      <c r="N54" s="24" t="n">
        <f aca="false">IF(M54="","",M54-M53)</f>
        <v>26</v>
      </c>
      <c r="O54" s="13" t="n">
        <f aca="false">IF(M54="","",SQRT(M54*2^$O$4))</f>
        <v>8</v>
      </c>
      <c r="Q54" s="25" t="n">
        <v>40</v>
      </c>
      <c r="R54" s="25" t="n">
        <f aca="false">$O$8+Q54-1</f>
        <v>40</v>
      </c>
      <c r="S54" s="26" t="str">
        <f aca="false">IF(Q54&lt;=$O$7-1,($O$9/R54)^(1/($O$7-Q54)),"")</f>
        <v/>
      </c>
      <c r="T54" s="25" t="n">
        <f aca="false">IF(S54="",0,IF(R54*(S54-1)&gt;=1,1,0))</f>
        <v>0</v>
      </c>
    </row>
    <row r="55" customFormat="false" ht="15" hidden="false" customHeight="false" outlineLevel="0" collapsed="false">
      <c r="A55" s="13" t="str">
        <f aca="false">IF(B55="","",$J$11-$J$8)</f>
        <v/>
      </c>
      <c r="B55" s="22" t="str">
        <f aca="false">IF(M55="","",M55)</f>
        <v/>
      </c>
      <c r="C55" s="22"/>
      <c r="D55" s="22"/>
      <c r="E55" s="22"/>
      <c r="F55" s="22"/>
      <c r="G55" s="22"/>
      <c r="H55" s="22"/>
      <c r="I55" s="23" t="n">
        <f aca="false">IF(B55="",0,SQRT(B55*2^N(A55)))</f>
        <v>0</v>
      </c>
      <c r="L55" s="24" t="n">
        <f aca="false">L54+1</f>
        <v>40</v>
      </c>
      <c r="M55" s="24" t="str">
        <f aca="false">IF(L55&gt;=$O$7,"",IF($O$9-$O$8+1&lt;=$O$7,IF($O$8+L55&lt;=$O$9,$O$8+L55,""),IF(L55&lt;$O$10,$O$8+L55,ROUND($O$11*$O$12^(L55-$O$10+1),0))))</f>
        <v/>
      </c>
      <c r="N55" s="24" t="str">
        <f aca="false">IF(M55="","",M55-M54)</f>
        <v/>
      </c>
      <c r="O55" s="13" t="str">
        <f aca="false">IF(M55="","",SQRT(M55*2^$O$4))</f>
        <v/>
      </c>
      <c r="Q55" s="25" t="n">
        <v>41</v>
      </c>
      <c r="R55" s="25" t="n">
        <f aca="false">$O$8+Q55-1</f>
        <v>41</v>
      </c>
      <c r="S55" s="26" t="str">
        <f aca="false">IF(Q55&lt;=$O$7-1,($O$9/R55)^(1/($O$7-Q55)),"")</f>
        <v/>
      </c>
      <c r="T55" s="25" t="n">
        <f aca="false">IF(S55="",0,IF(R55*(S55-1)&gt;=1,1,0))</f>
        <v>0</v>
      </c>
    </row>
    <row r="56" customFormat="false" ht="15" hidden="false" customHeight="false" outlineLevel="0" collapsed="false">
      <c r="A56" s="13" t="str">
        <f aca="false">IF(B56="","",$J$11-$J$8)</f>
        <v/>
      </c>
      <c r="B56" s="22" t="str">
        <f aca="false">IF(M56="","",M56)</f>
        <v/>
      </c>
      <c r="C56" s="22"/>
      <c r="D56" s="22"/>
      <c r="E56" s="22"/>
      <c r="F56" s="22"/>
      <c r="G56" s="22"/>
      <c r="H56" s="22"/>
      <c r="I56" s="23" t="n">
        <f aca="false">IF(B56="",0,SQRT(B56*2^N(A56)))</f>
        <v>0</v>
      </c>
      <c r="L56" s="24" t="n">
        <f aca="false">L55+1</f>
        <v>41</v>
      </c>
      <c r="M56" s="24" t="str">
        <f aca="false">IF(L56&gt;=$O$7,"",IF($O$9-$O$8+1&lt;=$O$7,IF($O$8+L56&lt;=$O$9,$O$8+L56,""),IF(L56&lt;$O$10,$O$8+L56,ROUND($O$11*$O$12^(L56-$O$10+1),0))))</f>
        <v/>
      </c>
      <c r="N56" s="24" t="str">
        <f aca="false">IF(M56="","",M56-M55)</f>
        <v/>
      </c>
      <c r="O56" s="13" t="str">
        <f aca="false">IF(M56="","",SQRT(M56*2^$O$4))</f>
        <v/>
      </c>
      <c r="Q56" s="25" t="n">
        <v>42</v>
      </c>
      <c r="R56" s="25" t="n">
        <f aca="false">$O$8+Q56-1</f>
        <v>42</v>
      </c>
      <c r="S56" s="26" t="str">
        <f aca="false">IF(Q56&lt;=$O$7-1,($O$9/R56)^(1/($O$7-Q56)),"")</f>
        <v/>
      </c>
      <c r="T56" s="25" t="n">
        <f aca="false">IF(S56="",0,IF(R56*(S56-1)&gt;=1,1,0))</f>
        <v>0</v>
      </c>
    </row>
    <row r="57" customFormat="false" ht="15" hidden="false" customHeight="false" outlineLevel="0" collapsed="false">
      <c r="A57" s="13" t="str">
        <f aca="false">IF(B57="","",$J$11-$J$8)</f>
        <v/>
      </c>
      <c r="B57" s="22" t="str">
        <f aca="false">IF(M57="","",M57)</f>
        <v/>
      </c>
      <c r="C57" s="22"/>
      <c r="D57" s="22"/>
      <c r="E57" s="22"/>
      <c r="F57" s="22"/>
      <c r="G57" s="22"/>
      <c r="H57" s="22"/>
      <c r="I57" s="23" t="n">
        <f aca="false">IF(B57="",0,SQRT(B57*2^N(A57)))</f>
        <v>0</v>
      </c>
      <c r="L57" s="24" t="n">
        <f aca="false">L56+1</f>
        <v>42</v>
      </c>
      <c r="M57" s="24" t="str">
        <f aca="false">IF(L57&gt;=$O$7,"",IF($O$9-$O$8+1&lt;=$O$7,IF($O$8+L57&lt;=$O$9,$O$8+L57,""),IF(L57&lt;$O$10,$O$8+L57,ROUND($O$11*$O$12^(L57-$O$10+1),0))))</f>
        <v/>
      </c>
      <c r="N57" s="24" t="str">
        <f aca="false">IF(M57="","",M57-M56)</f>
        <v/>
      </c>
      <c r="O57" s="13" t="str">
        <f aca="false">IF(M57="","",SQRT(M57*2^$O$4))</f>
        <v/>
      </c>
      <c r="Q57" s="25" t="n">
        <v>43</v>
      </c>
      <c r="R57" s="25" t="n">
        <f aca="false">$O$8+Q57-1</f>
        <v>43</v>
      </c>
      <c r="S57" s="26" t="str">
        <f aca="false">IF(Q57&lt;=$O$7-1,($O$9/R57)^(1/($O$7-Q57)),"")</f>
        <v/>
      </c>
      <c r="T57" s="25" t="n">
        <f aca="false">IF(S57="",0,IF(R57*(S57-1)&gt;=1,1,0))</f>
        <v>0</v>
      </c>
    </row>
    <row r="58" customFormat="false" ht="15" hidden="false" customHeight="false" outlineLevel="0" collapsed="false">
      <c r="A58" s="13" t="str">
        <f aca="false">IF(B58="","",$J$11-$J$8)</f>
        <v/>
      </c>
      <c r="B58" s="22" t="str">
        <f aca="false">IF(M58="","",M58)</f>
        <v/>
      </c>
      <c r="C58" s="22"/>
      <c r="D58" s="22"/>
      <c r="E58" s="22"/>
      <c r="F58" s="22"/>
      <c r="G58" s="22"/>
      <c r="H58" s="22"/>
      <c r="I58" s="23" t="n">
        <f aca="false">IF(B58="",0,SQRT(B58*2^N(A58)))</f>
        <v>0</v>
      </c>
      <c r="L58" s="24" t="n">
        <f aca="false">L57+1</f>
        <v>43</v>
      </c>
      <c r="M58" s="24" t="str">
        <f aca="false">IF(L58&gt;=$O$7,"",IF($O$9-$O$8+1&lt;=$O$7,IF($O$8+L58&lt;=$O$9,$O$8+L58,""),IF(L58&lt;$O$10,$O$8+L58,ROUND($O$11*$O$12^(L58-$O$10+1),0))))</f>
        <v/>
      </c>
      <c r="N58" s="24" t="str">
        <f aca="false">IF(M58="","",M58-M57)</f>
        <v/>
      </c>
      <c r="O58" s="13" t="str">
        <f aca="false">IF(M58="","",SQRT(M58*2^$O$4))</f>
        <v/>
      </c>
      <c r="Q58" s="25" t="n">
        <v>44</v>
      </c>
      <c r="R58" s="25" t="n">
        <f aca="false">$O$8+Q58-1</f>
        <v>44</v>
      </c>
      <c r="S58" s="26" t="str">
        <f aca="false">IF(Q58&lt;=$O$7-1,($O$9/R58)^(1/($O$7-Q58)),"")</f>
        <v/>
      </c>
      <c r="T58" s="25" t="n">
        <f aca="false">IF(S58="",0,IF(R58*(S58-1)&gt;=1,1,0))</f>
        <v>0</v>
      </c>
    </row>
    <row r="59" customFormat="false" ht="15" hidden="false" customHeight="false" outlineLevel="0" collapsed="false">
      <c r="A59" s="13" t="str">
        <f aca="false">IF(B59="","",$J$11-$J$8)</f>
        <v/>
      </c>
      <c r="B59" s="22" t="str">
        <f aca="false">IF(M59="","",M59)</f>
        <v/>
      </c>
      <c r="C59" s="22"/>
      <c r="D59" s="22"/>
      <c r="E59" s="22"/>
      <c r="F59" s="22"/>
      <c r="G59" s="22"/>
      <c r="H59" s="22"/>
      <c r="I59" s="23" t="n">
        <f aca="false">IF(B59="",0,SQRT(B59*2^N(A59)))</f>
        <v>0</v>
      </c>
      <c r="L59" s="24" t="n">
        <f aca="false">L58+1</f>
        <v>44</v>
      </c>
      <c r="M59" s="24" t="str">
        <f aca="false">IF(L59&gt;=$O$7,"",IF($O$9-$O$8+1&lt;=$O$7,IF($O$8+L59&lt;=$O$9,$O$8+L59,""),IF(L59&lt;$O$10,$O$8+L59,ROUND($O$11*$O$12^(L59-$O$10+1),0))))</f>
        <v/>
      </c>
      <c r="N59" s="24" t="str">
        <f aca="false">IF(M59="","",M59-M58)</f>
        <v/>
      </c>
      <c r="O59" s="13" t="str">
        <f aca="false">IF(M59="","",SQRT(M59*2^$O$4))</f>
        <v/>
      </c>
      <c r="Q59" s="25" t="n">
        <v>45</v>
      </c>
      <c r="R59" s="25" t="n">
        <f aca="false">$O$8+Q59-1</f>
        <v>45</v>
      </c>
      <c r="S59" s="26" t="str">
        <f aca="false">IF(Q59&lt;=$O$7-1,($O$9/R59)^(1/($O$7-Q59)),"")</f>
        <v/>
      </c>
      <c r="T59" s="25" t="n">
        <f aca="false">IF(S59="",0,IF(R59*(S59-1)&gt;=1,1,0))</f>
        <v>0</v>
      </c>
    </row>
    <row r="60" customFormat="false" ht="15" hidden="false" customHeight="false" outlineLevel="0" collapsed="false">
      <c r="A60" s="13" t="str">
        <f aca="false">IF(B60="","",$J$11-$J$8)</f>
        <v/>
      </c>
      <c r="B60" s="22" t="str">
        <f aca="false">IF(M60="","",M60)</f>
        <v/>
      </c>
      <c r="C60" s="22"/>
      <c r="D60" s="22"/>
      <c r="E60" s="22"/>
      <c r="F60" s="22"/>
      <c r="G60" s="22"/>
      <c r="H60" s="22"/>
      <c r="I60" s="23" t="n">
        <f aca="false">IF(B60="",0,SQRT(B60*2^N(A60)))</f>
        <v>0</v>
      </c>
      <c r="L60" s="24" t="n">
        <f aca="false">L59+1</f>
        <v>45</v>
      </c>
      <c r="M60" s="24" t="str">
        <f aca="false">IF(L60&gt;=$O$7,"",IF($O$9-$O$8+1&lt;=$O$7,IF($O$8+L60&lt;=$O$9,$O$8+L60,""),IF(L60&lt;$O$10,$O$8+L60,ROUND($O$11*$O$12^(L60-$O$10+1),0))))</f>
        <v/>
      </c>
      <c r="N60" s="24" t="str">
        <f aca="false">IF(M60="","",M60-M59)</f>
        <v/>
      </c>
      <c r="O60" s="13" t="str">
        <f aca="false">IF(M60="","",SQRT(M60*2^$O$4))</f>
        <v/>
      </c>
      <c r="Q60" s="25" t="n">
        <v>46</v>
      </c>
      <c r="R60" s="25" t="n">
        <f aca="false">$O$8+Q60-1</f>
        <v>46</v>
      </c>
      <c r="S60" s="26" t="str">
        <f aca="false">IF(Q60&lt;=$O$7-1,($O$9/R60)^(1/($O$7-Q60)),"")</f>
        <v/>
      </c>
      <c r="T60" s="25" t="n">
        <f aca="false">IF(S60="",0,IF(R60*(S60-1)&gt;=1,1,0))</f>
        <v>0</v>
      </c>
    </row>
    <row r="61" customFormat="false" ht="15" hidden="false" customHeight="false" outlineLevel="0" collapsed="false">
      <c r="A61" s="13" t="str">
        <f aca="false">IF(B61="","",$J$11-$J$8)</f>
        <v/>
      </c>
      <c r="B61" s="22" t="str">
        <f aca="false">IF(M61="","",M61)</f>
        <v/>
      </c>
      <c r="C61" s="22"/>
      <c r="D61" s="22"/>
      <c r="E61" s="22"/>
      <c r="F61" s="22"/>
      <c r="G61" s="22"/>
      <c r="H61" s="22"/>
      <c r="I61" s="23" t="n">
        <f aca="false">IF(B61="",0,SQRT(B61*2^N(A61)))</f>
        <v>0</v>
      </c>
      <c r="L61" s="24" t="n">
        <f aca="false">L60+1</f>
        <v>46</v>
      </c>
      <c r="M61" s="24" t="str">
        <f aca="false">IF(L61&gt;=$O$7,"",IF($O$9-$O$8+1&lt;=$O$7,IF($O$8+L61&lt;=$O$9,$O$8+L61,""),IF(L61&lt;$O$10,$O$8+L61,ROUND($O$11*$O$12^(L61-$O$10+1),0))))</f>
        <v/>
      </c>
      <c r="N61" s="24" t="str">
        <f aca="false">IF(M61="","",M61-M60)</f>
        <v/>
      </c>
      <c r="O61" s="13" t="str">
        <f aca="false">IF(M61="","",SQRT(M61*2^$O$4))</f>
        <v/>
      </c>
      <c r="Q61" s="25" t="n">
        <v>47</v>
      </c>
      <c r="R61" s="25" t="n">
        <f aca="false">$O$8+Q61-1</f>
        <v>47</v>
      </c>
      <c r="S61" s="26" t="str">
        <f aca="false">IF(Q61&lt;=$O$7-1,($O$9/R61)^(1/($O$7-Q61)),"")</f>
        <v/>
      </c>
      <c r="T61" s="25" t="n">
        <f aca="false">IF(S61="",0,IF(R61*(S61-1)&gt;=1,1,0))</f>
        <v>0</v>
      </c>
    </row>
    <row r="62" customFormat="false" ht="15" hidden="false" customHeight="false" outlineLevel="0" collapsed="false">
      <c r="A62" s="13" t="str">
        <f aca="false">IF(B62="","",$J$11-$J$8)</f>
        <v/>
      </c>
      <c r="B62" s="22" t="str">
        <f aca="false">IF(M62="","",M62)</f>
        <v/>
      </c>
      <c r="C62" s="22"/>
      <c r="D62" s="22"/>
      <c r="E62" s="22"/>
      <c r="F62" s="22"/>
      <c r="G62" s="22"/>
      <c r="H62" s="22"/>
      <c r="I62" s="23" t="n">
        <f aca="false">IF(B62="",0,SQRT(B62*2^N(A62)))</f>
        <v>0</v>
      </c>
      <c r="L62" s="24" t="n">
        <f aca="false">L61+1</f>
        <v>47</v>
      </c>
      <c r="M62" s="24" t="str">
        <f aca="false">IF(L62&gt;=$O$7,"",IF($O$9-$O$8+1&lt;=$O$7,IF($O$8+L62&lt;=$O$9,$O$8+L62,""),IF(L62&lt;$O$10,$O$8+L62,ROUND($O$11*$O$12^(L62-$O$10+1),0))))</f>
        <v/>
      </c>
      <c r="N62" s="24" t="str">
        <f aca="false">IF(M62="","",M62-M61)</f>
        <v/>
      </c>
      <c r="O62" s="13" t="str">
        <f aca="false">IF(M62="","",SQRT(M62*2^$O$4))</f>
        <v/>
      </c>
      <c r="Q62" s="25" t="n">
        <v>48</v>
      </c>
      <c r="R62" s="25" t="n">
        <f aca="false">$O$8+Q62-1</f>
        <v>48</v>
      </c>
      <c r="S62" s="26" t="str">
        <f aca="false">IF(Q62&lt;=$O$7-1,($O$9/R62)^(1/($O$7-Q62)),"")</f>
        <v/>
      </c>
      <c r="T62" s="25" t="n">
        <f aca="false">IF(S62="",0,IF(R62*(S62-1)&gt;=1,1,0))</f>
        <v>0</v>
      </c>
    </row>
    <row r="63" customFormat="false" ht="15" hidden="false" customHeight="false" outlineLevel="0" collapsed="false">
      <c r="A63" s="13" t="str">
        <f aca="false">IF(B63="","",$J$11-$J$8)</f>
        <v/>
      </c>
      <c r="B63" s="22" t="str">
        <f aca="false">IF(M63="","",M63)</f>
        <v/>
      </c>
      <c r="C63" s="22"/>
      <c r="D63" s="22"/>
      <c r="E63" s="22"/>
      <c r="F63" s="22"/>
      <c r="G63" s="22"/>
      <c r="H63" s="22"/>
      <c r="I63" s="23" t="n">
        <f aca="false">IF(B63="",0,SQRT(B63*2^N(A63)))</f>
        <v>0</v>
      </c>
      <c r="L63" s="24" t="n">
        <f aca="false">L62+1</f>
        <v>48</v>
      </c>
      <c r="M63" s="24" t="str">
        <f aca="false">IF(L63&gt;=$O$7,"",IF($O$9-$O$8+1&lt;=$O$7,IF($O$8+L63&lt;=$O$9,$O$8+L63,""),IF(L63&lt;$O$10,$O$8+L63,ROUND($O$11*$O$12^(L63-$O$10+1),0))))</f>
        <v/>
      </c>
      <c r="N63" s="24" t="str">
        <f aca="false">IF(M63="","",M63-M62)</f>
        <v/>
      </c>
      <c r="O63" s="13" t="str">
        <f aca="false">IF(M63="","",SQRT(M63*2^$O$4))</f>
        <v/>
      </c>
      <c r="Q63" s="25" t="n">
        <v>49</v>
      </c>
      <c r="R63" s="25" t="n">
        <f aca="false">$O$8+Q63-1</f>
        <v>49</v>
      </c>
      <c r="S63" s="26" t="str">
        <f aca="false">IF(Q63&lt;=$O$7-1,($O$9/R63)^(1/($O$7-Q63)),"")</f>
        <v/>
      </c>
      <c r="T63" s="25" t="n">
        <f aca="false">IF(S63="",0,IF(R63*(S63-1)&gt;=1,1,0))</f>
        <v>0</v>
      </c>
    </row>
    <row r="64" customFormat="false" ht="15" hidden="false" customHeight="false" outlineLevel="0" collapsed="false">
      <c r="A64" s="13" t="str">
        <f aca="false">IF(B64="","",$J$11-$J$8)</f>
        <v/>
      </c>
      <c r="B64" s="22" t="str">
        <f aca="false">IF(M64="","",M64)</f>
        <v/>
      </c>
      <c r="C64" s="22"/>
      <c r="D64" s="22"/>
      <c r="E64" s="22"/>
      <c r="F64" s="22"/>
      <c r="G64" s="22"/>
      <c r="H64" s="22"/>
      <c r="I64" s="23" t="n">
        <f aca="false">IF(B64="",0,SQRT(B64*2^N(A64)))</f>
        <v>0</v>
      </c>
      <c r="L64" s="24" t="n">
        <f aca="false">L63+1</f>
        <v>49</v>
      </c>
      <c r="M64" s="24" t="str">
        <f aca="false">IF(L64&gt;=$O$7,"",IF($O$9-$O$8+1&lt;=$O$7,IF($O$8+L64&lt;=$O$9,$O$8+L64,""),IF(L64&lt;$O$10,$O$8+L64,ROUND($O$11*$O$12^(L64-$O$10+1),0))))</f>
        <v/>
      </c>
      <c r="N64" s="24" t="str">
        <f aca="false">IF(M64="","",M64-M63)</f>
        <v/>
      </c>
      <c r="O64" s="13" t="str">
        <f aca="false">IF(M64="","",SQRT(M64*2^$O$4))</f>
        <v/>
      </c>
      <c r="Q64" s="25" t="n">
        <v>50</v>
      </c>
      <c r="R64" s="25" t="n">
        <f aca="false">$O$8+Q64-1</f>
        <v>50</v>
      </c>
      <c r="S64" s="26" t="str">
        <f aca="false">IF(Q64&lt;=$O$7-1,($O$9/R64)^(1/($O$7-Q64)),"")</f>
        <v/>
      </c>
      <c r="T64" s="25" t="n">
        <f aca="false">IF(S64="",0,IF(R64*(S64-1)&gt;=1,1,0))</f>
        <v>0</v>
      </c>
    </row>
    <row r="65" customFormat="false" ht="15" hidden="false" customHeight="false" outlineLevel="0" collapsed="false">
      <c r="A65" s="13" t="str">
        <f aca="false">IF(B65="","",$J$11-$J$8)</f>
        <v/>
      </c>
      <c r="B65" s="22" t="str">
        <f aca="false">IF(M65="","",M65)</f>
        <v/>
      </c>
      <c r="C65" s="22"/>
      <c r="D65" s="22"/>
      <c r="E65" s="22"/>
      <c r="F65" s="22"/>
      <c r="G65" s="22"/>
      <c r="H65" s="22"/>
      <c r="I65" s="23" t="n">
        <f aca="false">IF(B65="",0,SQRT(B65*2^N(A65)))</f>
        <v>0</v>
      </c>
      <c r="L65" s="24" t="n">
        <f aca="false">L64+1</f>
        <v>50</v>
      </c>
      <c r="M65" s="24" t="str">
        <f aca="false">IF(L65&gt;=$O$7,"",IF($O$9-$O$8+1&lt;=$O$7,IF($O$8+L65&lt;=$O$9,$O$8+L65,""),IF(L65&lt;$O$10,$O$8+L65,ROUND($O$11*$O$12^(L65-$O$10+1),0))))</f>
        <v/>
      </c>
      <c r="N65" s="24" t="str">
        <f aca="false">IF(M65="","",M65-M64)</f>
        <v/>
      </c>
      <c r="O65" s="13" t="str">
        <f aca="false">IF(M65="","",SQRT(M65*2^$O$4))</f>
        <v/>
      </c>
      <c r="Q65" s="25" t="n">
        <v>51</v>
      </c>
      <c r="R65" s="25" t="n">
        <f aca="false">$O$8+Q65-1</f>
        <v>51</v>
      </c>
      <c r="S65" s="26" t="str">
        <f aca="false">IF(Q65&lt;=$O$7-1,($O$9/R65)^(1/($O$7-Q65)),"")</f>
        <v/>
      </c>
      <c r="T65" s="25" t="n">
        <f aca="false">IF(S65="",0,IF(R65*(S65-1)&gt;=1,1,0))</f>
        <v>0</v>
      </c>
    </row>
    <row r="66" customFormat="false" ht="15" hidden="false" customHeight="false" outlineLevel="0" collapsed="false">
      <c r="A66" s="13" t="str">
        <f aca="false">IF(B66="","",$J$11-$J$8)</f>
        <v/>
      </c>
      <c r="B66" s="22" t="str">
        <f aca="false">IF(M66="","",M66)</f>
        <v/>
      </c>
      <c r="C66" s="22"/>
      <c r="D66" s="22"/>
      <c r="E66" s="22"/>
      <c r="F66" s="22"/>
      <c r="G66" s="22"/>
      <c r="H66" s="22"/>
      <c r="I66" s="23" t="n">
        <f aca="false">IF(B66="",0,SQRT(B66*2^N(A66)))</f>
        <v>0</v>
      </c>
      <c r="L66" s="24" t="n">
        <f aca="false">L65+1</f>
        <v>51</v>
      </c>
      <c r="M66" s="24" t="str">
        <f aca="false">IF(L66&gt;=$O$7,"",IF($O$9-$O$8+1&lt;=$O$7,IF($O$8+L66&lt;=$O$9,$O$8+L66,""),IF(L66&lt;$O$10,$O$8+L66,ROUND($O$11*$O$12^(L66-$O$10+1),0))))</f>
        <v/>
      </c>
      <c r="N66" s="24" t="str">
        <f aca="false">IF(M66="","",M66-M65)</f>
        <v/>
      </c>
      <c r="O66" s="13" t="str">
        <f aca="false">IF(M66="","",SQRT(M66*2^$O$4))</f>
        <v/>
      </c>
      <c r="Q66" s="25" t="n">
        <v>52</v>
      </c>
      <c r="R66" s="25" t="n">
        <f aca="false">$O$8+Q66-1</f>
        <v>52</v>
      </c>
      <c r="S66" s="26" t="str">
        <f aca="false">IF(Q66&lt;=$O$7-1,($O$9/R66)^(1/($O$7-Q66)),"")</f>
        <v/>
      </c>
      <c r="T66" s="25" t="n">
        <f aca="false">IF(S66="",0,IF(R66*(S66-1)&gt;=1,1,0))</f>
        <v>0</v>
      </c>
    </row>
    <row r="67" customFormat="false" ht="15" hidden="false" customHeight="false" outlineLevel="0" collapsed="false">
      <c r="A67" s="13" t="str">
        <f aca="false">IF(B67="","",$J$11-$J$8)</f>
        <v/>
      </c>
      <c r="B67" s="22" t="str">
        <f aca="false">IF(M67="","",M67)</f>
        <v/>
      </c>
      <c r="C67" s="22"/>
      <c r="D67" s="22"/>
      <c r="E67" s="22"/>
      <c r="F67" s="22"/>
      <c r="G67" s="22"/>
      <c r="H67" s="22"/>
      <c r="I67" s="23" t="n">
        <f aca="false">IF(B67="",0,SQRT(B67*2^N(A67)))</f>
        <v>0</v>
      </c>
      <c r="L67" s="24" t="n">
        <f aca="false">L66+1</f>
        <v>52</v>
      </c>
      <c r="M67" s="24" t="str">
        <f aca="false">IF(L67&gt;=$O$7,"",IF($O$9-$O$8+1&lt;=$O$7,IF($O$8+L67&lt;=$O$9,$O$8+L67,""),IF(L67&lt;$O$10,$O$8+L67,ROUND($O$11*$O$12^(L67-$O$10+1),0))))</f>
        <v/>
      </c>
      <c r="N67" s="24" t="str">
        <f aca="false">IF(M67="","",M67-M66)</f>
        <v/>
      </c>
      <c r="O67" s="13" t="str">
        <f aca="false">IF(M67="","",SQRT(M67*2^$O$4))</f>
        <v/>
      </c>
      <c r="Q67" s="25" t="n">
        <v>53</v>
      </c>
      <c r="R67" s="25" t="n">
        <f aca="false">$O$8+Q67-1</f>
        <v>53</v>
      </c>
      <c r="S67" s="26" t="str">
        <f aca="false">IF(Q67&lt;=$O$7-1,($O$9/R67)^(1/($O$7-Q67)),"")</f>
        <v/>
      </c>
      <c r="T67" s="25" t="n">
        <f aca="false">IF(S67="",0,IF(R67*(S67-1)&gt;=1,1,0))</f>
        <v>0</v>
      </c>
    </row>
    <row r="68" customFormat="false" ht="15" hidden="false" customHeight="false" outlineLevel="0" collapsed="false">
      <c r="A68" s="13" t="str">
        <f aca="false">IF(B68="","",$J$11-$J$8)</f>
        <v/>
      </c>
      <c r="B68" s="22" t="str">
        <f aca="false">IF(M68="","",M68)</f>
        <v/>
      </c>
      <c r="C68" s="22"/>
      <c r="D68" s="22"/>
      <c r="E68" s="22"/>
      <c r="F68" s="22"/>
      <c r="G68" s="22"/>
      <c r="H68" s="22"/>
      <c r="I68" s="23" t="n">
        <f aca="false">IF(B68="",0,SQRT(B68*2^N(A68)))</f>
        <v>0</v>
      </c>
      <c r="L68" s="24" t="n">
        <f aca="false">L67+1</f>
        <v>53</v>
      </c>
      <c r="M68" s="24" t="str">
        <f aca="false">IF(L68&gt;=$O$7,"",IF($O$9-$O$8+1&lt;=$O$7,IF($O$8+L68&lt;=$O$9,$O$8+L68,""),IF(L68&lt;$O$10,$O$8+L68,ROUND($O$11*$O$12^(L68-$O$10+1),0))))</f>
        <v/>
      </c>
      <c r="N68" s="24" t="str">
        <f aca="false">IF(M68="","",M68-M67)</f>
        <v/>
      </c>
      <c r="O68" s="13" t="str">
        <f aca="false">IF(M68="","",SQRT(M68*2^$O$4))</f>
        <v/>
      </c>
      <c r="Q68" s="25" t="n">
        <v>54</v>
      </c>
      <c r="R68" s="25" t="n">
        <f aca="false">$O$8+Q68-1</f>
        <v>54</v>
      </c>
      <c r="S68" s="26" t="str">
        <f aca="false">IF(Q68&lt;=$O$7-1,($O$9/R68)^(1/($O$7-Q68)),"")</f>
        <v/>
      </c>
      <c r="T68" s="25" t="n">
        <f aca="false">IF(S68="",0,IF(R68*(S68-1)&gt;=1,1,0))</f>
        <v>0</v>
      </c>
    </row>
    <row r="69" customFormat="false" ht="15" hidden="false" customHeight="false" outlineLevel="0" collapsed="false">
      <c r="A69" s="13" t="str">
        <f aca="false">IF(B69="","",$J$11-$J$8)</f>
        <v/>
      </c>
      <c r="B69" s="22" t="str">
        <f aca="false">IF(M69="","",M69)</f>
        <v/>
      </c>
      <c r="C69" s="22"/>
      <c r="D69" s="22"/>
      <c r="E69" s="22"/>
      <c r="F69" s="22"/>
      <c r="G69" s="22"/>
      <c r="H69" s="22"/>
      <c r="I69" s="23" t="n">
        <f aca="false">IF(B69="",0,SQRT(B69*2^N(A69)))</f>
        <v>0</v>
      </c>
      <c r="L69" s="24" t="n">
        <f aca="false">L68+1</f>
        <v>54</v>
      </c>
      <c r="M69" s="24" t="str">
        <f aca="false">IF(L69&gt;=$O$7,"",IF($O$9-$O$8+1&lt;=$O$7,IF($O$8+L69&lt;=$O$9,$O$8+L69,""),IF(L69&lt;$O$10,$O$8+L69,ROUND($O$11*$O$12^(L69-$O$10+1),0))))</f>
        <v/>
      </c>
      <c r="N69" s="24" t="str">
        <f aca="false">IF(M69="","",M69-M68)</f>
        <v/>
      </c>
      <c r="O69" s="13" t="str">
        <f aca="false">IF(M69="","",SQRT(M69*2^$O$4))</f>
        <v/>
      </c>
      <c r="Q69" s="25" t="n">
        <v>55</v>
      </c>
      <c r="R69" s="25" t="n">
        <f aca="false">$O$8+Q69-1</f>
        <v>55</v>
      </c>
      <c r="S69" s="26" t="str">
        <f aca="false">IF(Q69&lt;=$O$7-1,($O$9/R69)^(1/($O$7-Q69)),"")</f>
        <v/>
      </c>
      <c r="T69" s="25" t="n">
        <f aca="false">IF(S69="",0,IF(R69*(S69-1)&gt;=1,1,0))</f>
        <v>0</v>
      </c>
    </row>
    <row r="70" customFormat="false" ht="15" hidden="false" customHeight="false" outlineLevel="0" collapsed="false">
      <c r="A70" s="13" t="str">
        <f aca="false">IF(B70="","",$J$11-$J$8)</f>
        <v/>
      </c>
      <c r="B70" s="22" t="str">
        <f aca="false">IF(M70="","",M70)</f>
        <v/>
      </c>
      <c r="C70" s="22"/>
      <c r="D70" s="22"/>
      <c r="E70" s="22"/>
      <c r="F70" s="22"/>
      <c r="G70" s="22"/>
      <c r="H70" s="22"/>
      <c r="I70" s="23" t="n">
        <f aca="false">IF(B70="",0,SQRT(B70*2^N(A70)))</f>
        <v>0</v>
      </c>
      <c r="L70" s="24" t="n">
        <f aca="false">L69+1</f>
        <v>55</v>
      </c>
      <c r="M70" s="24" t="str">
        <f aca="false">IF(L70&gt;=$O$7,"",IF($O$9-$O$8+1&lt;=$O$7,IF($O$8+L70&lt;=$O$9,$O$8+L70,""),IF(L70&lt;$O$10,$O$8+L70,ROUND($O$11*$O$12^(L70-$O$10+1),0))))</f>
        <v/>
      </c>
      <c r="N70" s="24" t="str">
        <f aca="false">IF(M70="","",M70-M69)</f>
        <v/>
      </c>
      <c r="O70" s="13" t="str">
        <f aca="false">IF(M70="","",SQRT(M70*2^$O$4))</f>
        <v/>
      </c>
      <c r="Q70" s="25" t="n">
        <v>56</v>
      </c>
      <c r="R70" s="25" t="n">
        <f aca="false">$O$8+Q70-1</f>
        <v>56</v>
      </c>
      <c r="S70" s="26" t="str">
        <f aca="false">IF(Q70&lt;=$O$7-1,($O$9/R70)^(1/($O$7-Q70)),"")</f>
        <v/>
      </c>
      <c r="T70" s="25" t="n">
        <f aca="false">IF(S70="",0,IF(R70*(S70-1)&gt;=1,1,0))</f>
        <v>0</v>
      </c>
    </row>
    <row r="71" customFormat="false" ht="15" hidden="false" customHeight="false" outlineLevel="0" collapsed="false">
      <c r="A71" s="13" t="str">
        <f aca="false">IF(B71="","",$J$11-$J$8)</f>
        <v/>
      </c>
      <c r="B71" s="22" t="str">
        <f aca="false">IF(M71="","",M71)</f>
        <v/>
      </c>
      <c r="C71" s="22"/>
      <c r="D71" s="22"/>
      <c r="E71" s="22"/>
      <c r="F71" s="22"/>
      <c r="G71" s="22"/>
      <c r="H71" s="22"/>
      <c r="I71" s="23" t="n">
        <f aca="false">IF(B71="",0,SQRT(B71*2^N(A71)))</f>
        <v>0</v>
      </c>
      <c r="L71" s="24" t="n">
        <f aca="false">L70+1</f>
        <v>56</v>
      </c>
      <c r="M71" s="24" t="str">
        <f aca="false">IF(L71&gt;=$O$7,"",IF($O$9-$O$8+1&lt;=$O$7,IF($O$8+L71&lt;=$O$9,$O$8+L71,""),IF(L71&lt;$O$10,$O$8+L71,ROUND($O$11*$O$12^(L71-$O$10+1),0))))</f>
        <v/>
      </c>
      <c r="N71" s="24" t="str">
        <f aca="false">IF(M71="","",M71-M70)</f>
        <v/>
      </c>
      <c r="O71" s="13" t="str">
        <f aca="false">IF(M71="","",SQRT(M71*2^$O$4))</f>
        <v/>
      </c>
      <c r="Q71" s="25" t="n">
        <v>57</v>
      </c>
      <c r="R71" s="25" t="n">
        <f aca="false">$O$8+Q71-1</f>
        <v>57</v>
      </c>
      <c r="S71" s="26" t="str">
        <f aca="false">IF(Q71&lt;=$O$7-1,($O$9/R71)^(1/($O$7-Q71)),"")</f>
        <v/>
      </c>
      <c r="T71" s="25" t="n">
        <f aca="false">IF(S71="",0,IF(R71*(S71-1)&gt;=1,1,0))</f>
        <v>0</v>
      </c>
    </row>
    <row r="72" customFormat="false" ht="15" hidden="false" customHeight="false" outlineLevel="0" collapsed="false">
      <c r="A72" s="13" t="str">
        <f aca="false">IF(B72="","",$J$11-$J$8)</f>
        <v/>
      </c>
      <c r="B72" s="22" t="str">
        <f aca="false">IF(M72="","",M72)</f>
        <v/>
      </c>
      <c r="C72" s="22"/>
      <c r="D72" s="22"/>
      <c r="E72" s="22"/>
      <c r="F72" s="22"/>
      <c r="G72" s="22"/>
      <c r="H72" s="22"/>
      <c r="I72" s="23" t="n">
        <f aca="false">IF(B72="",0,SQRT(B72*2^N(A72)))</f>
        <v>0</v>
      </c>
      <c r="L72" s="24" t="n">
        <f aca="false">L71+1</f>
        <v>57</v>
      </c>
      <c r="M72" s="24" t="str">
        <f aca="false">IF(L72&gt;=$O$7,"",IF($O$9-$O$8+1&lt;=$O$7,IF($O$8+L72&lt;=$O$9,$O$8+L72,""),IF(L72&lt;$O$10,$O$8+L72,ROUND($O$11*$O$12^(L72-$O$10+1),0))))</f>
        <v/>
      </c>
      <c r="N72" s="24" t="str">
        <f aca="false">IF(M72="","",M72-M71)</f>
        <v/>
      </c>
      <c r="O72" s="13" t="str">
        <f aca="false">IF(M72="","",SQRT(M72*2^$O$4))</f>
        <v/>
      </c>
      <c r="Q72" s="25" t="n">
        <v>58</v>
      </c>
      <c r="R72" s="25" t="n">
        <f aca="false">$O$8+Q72-1</f>
        <v>58</v>
      </c>
      <c r="S72" s="26" t="str">
        <f aca="false">IF(Q72&lt;=$O$7-1,($O$9/R72)^(1/($O$7-Q72)),"")</f>
        <v/>
      </c>
      <c r="T72" s="25" t="n">
        <f aca="false">IF(S72="",0,IF(R72*(S72-1)&gt;=1,1,0))</f>
        <v>0</v>
      </c>
    </row>
    <row r="73" customFormat="false" ht="15" hidden="false" customHeight="false" outlineLevel="0" collapsed="false">
      <c r="A73" s="13" t="str">
        <f aca="false">IF(B73="","",$J$11-$J$8)</f>
        <v/>
      </c>
      <c r="B73" s="22" t="str">
        <f aca="false">IF(M73="","",M73)</f>
        <v/>
      </c>
      <c r="C73" s="22"/>
      <c r="D73" s="22"/>
      <c r="E73" s="22"/>
      <c r="F73" s="22"/>
      <c r="G73" s="22"/>
      <c r="H73" s="22"/>
      <c r="I73" s="23" t="n">
        <f aca="false">IF(B73="",0,SQRT(B73*2^N(A73)))</f>
        <v>0</v>
      </c>
      <c r="L73" s="24" t="n">
        <f aca="false">L72+1</f>
        <v>58</v>
      </c>
      <c r="M73" s="24" t="str">
        <f aca="false">IF(L73&gt;=$O$7,"",IF($O$9-$O$8+1&lt;=$O$7,IF($O$8+L73&lt;=$O$9,$O$8+L73,""),IF(L73&lt;$O$10,$O$8+L73,ROUND($O$11*$O$12^(L73-$O$10+1),0))))</f>
        <v/>
      </c>
      <c r="N73" s="24" t="str">
        <f aca="false">IF(M73="","",M73-M72)</f>
        <v/>
      </c>
      <c r="O73" s="13" t="str">
        <f aca="false">IF(M73="","",SQRT(M73*2^$O$4))</f>
        <v/>
      </c>
      <c r="Q73" s="25" t="n">
        <v>59</v>
      </c>
      <c r="R73" s="25" t="n">
        <f aca="false">$O$8+Q73-1</f>
        <v>59</v>
      </c>
      <c r="S73" s="26" t="str">
        <f aca="false">IF(Q73&lt;=$O$7-1,($O$9/R73)^(1/($O$7-Q73)),"")</f>
        <v/>
      </c>
      <c r="T73" s="25" t="n">
        <f aca="false">IF(S73="",0,IF(R73*(S73-1)&gt;=1,1,0))</f>
        <v>0</v>
      </c>
    </row>
    <row r="74" customFormat="false" ht="15" hidden="false" customHeight="false" outlineLevel="0" collapsed="false">
      <c r="A74" s="13" t="str">
        <f aca="false">IF(B74="","",$J$11-$J$8)</f>
        <v/>
      </c>
      <c r="B74" s="22" t="str">
        <f aca="false">IF(M74="","",M74)</f>
        <v/>
      </c>
      <c r="C74" s="22"/>
      <c r="D74" s="22"/>
      <c r="E74" s="22"/>
      <c r="F74" s="22"/>
      <c r="G74" s="22"/>
      <c r="H74" s="22"/>
      <c r="I74" s="23" t="n">
        <f aca="false">IF(B74="",0,SQRT(B74*2^N(A74)))</f>
        <v>0</v>
      </c>
      <c r="L74" s="24" t="n">
        <f aca="false">L73+1</f>
        <v>59</v>
      </c>
      <c r="M74" s="24" t="str">
        <f aca="false">IF(L74&gt;=$O$7,"",IF($O$9-$O$8+1&lt;=$O$7,IF($O$8+L74&lt;=$O$9,$O$8+L74,""),IF(L74&lt;$O$10,$O$8+L74,ROUND($O$11*$O$12^(L74-$O$10+1),0))))</f>
        <v/>
      </c>
      <c r="N74" s="24" t="str">
        <f aca="false">IF(M74="","",M74-M73)</f>
        <v/>
      </c>
      <c r="O74" s="13" t="str">
        <f aca="false">IF(M74="","",SQRT(M74*2^$O$4))</f>
        <v/>
      </c>
    </row>
    <row r="75" customFormat="false" ht="15" hidden="false" customHeight="false" outlineLevel="0" collapsed="false">
      <c r="A75" s="13" t="str">
        <f aca="false">IF(B75="","",$J$11-$J$8)</f>
        <v/>
      </c>
      <c r="B75" s="22" t="str">
        <f aca="false">IF(M75="","",M75)</f>
        <v/>
      </c>
      <c r="C75" s="22"/>
      <c r="D75" s="22"/>
      <c r="E75" s="22"/>
      <c r="F75" s="22"/>
      <c r="G75" s="22"/>
      <c r="H75" s="22"/>
      <c r="I75" s="23" t="n">
        <f aca="false">IF(B75="",0,SQRT(B75*2^N(A75)))</f>
        <v>0</v>
      </c>
    </row>
    <row r="76" customFormat="false" ht="15" hidden="false" customHeight="false" outlineLevel="0" collapsed="false">
      <c r="A76" s="13" t="str">
        <f aca="false">IF(B76="","",$J$11-$J$8)</f>
        <v/>
      </c>
      <c r="B76" s="22" t="str">
        <f aca="false">IF(M76="","",M76)</f>
        <v/>
      </c>
      <c r="C76" s="22"/>
      <c r="D76" s="22"/>
      <c r="E76" s="22"/>
      <c r="F76" s="22"/>
      <c r="G76" s="22"/>
      <c r="H76" s="22"/>
      <c r="I76" s="23" t="n">
        <f aca="false">IF(B76="",0,SQRT(B76*2^N(A76)))</f>
        <v>0</v>
      </c>
    </row>
    <row r="77" customFormat="false" ht="15" hidden="false" customHeight="false" outlineLevel="0" collapsed="false">
      <c r="A77" s="13" t="str">
        <f aca="false">IF(B77="","",$J$11-$J$8)</f>
        <v/>
      </c>
      <c r="B77" s="22" t="str">
        <f aca="false">IF(M77="","",M77)</f>
        <v/>
      </c>
      <c r="C77" s="22"/>
      <c r="D77" s="22"/>
      <c r="E77" s="22"/>
      <c r="F77" s="22"/>
      <c r="G77" s="22"/>
      <c r="H77" s="22"/>
      <c r="I77" s="23" t="n">
        <f aca="false">IF(B77="",0,SQRT(B77*2^N(A77)))</f>
        <v>0</v>
      </c>
    </row>
    <row r="78" customFormat="false" ht="15" hidden="false" customHeight="false" outlineLevel="0" collapsed="false">
      <c r="A78" s="13" t="str">
        <f aca="false">IF(B78="","",$J$11-$J$8)</f>
        <v/>
      </c>
      <c r="B78" s="22" t="str">
        <f aca="false">IF(M78="","",M78)</f>
        <v/>
      </c>
      <c r="C78" s="22"/>
      <c r="D78" s="22"/>
      <c r="E78" s="22"/>
      <c r="F78" s="22"/>
      <c r="G78" s="22"/>
      <c r="H78" s="22"/>
      <c r="I78" s="23" t="n">
        <f aca="false">IF(B78="",0,SQRT(B78*2^N(A78)))</f>
        <v>0</v>
      </c>
    </row>
    <row r="79" customFormat="false" ht="15" hidden="false" customHeight="false" outlineLevel="0" collapsed="false">
      <c r="A79" s="13" t="str">
        <f aca="false">IF(B79="","",$J$11-$J$8)</f>
        <v/>
      </c>
      <c r="B79" s="22" t="str">
        <f aca="false">IF(M79="","",M79)</f>
        <v/>
      </c>
      <c r="C79" s="22"/>
      <c r="D79" s="22"/>
      <c r="E79" s="22"/>
      <c r="F79" s="22"/>
      <c r="G79" s="22"/>
      <c r="H79" s="22"/>
      <c r="I79" s="23" t="n">
        <f aca="false">IF(B79="",0,SQRT(B79*2^N(A79)))</f>
        <v>0</v>
      </c>
    </row>
    <row r="80" customFormat="false" ht="15" hidden="false" customHeight="false" outlineLevel="0" collapsed="false">
      <c r="A80" s="13" t="str">
        <f aca="false">IF(B80="","",$J$11-$J$8)</f>
        <v/>
      </c>
      <c r="B80" s="22" t="str">
        <f aca="false">IF(M80="","",M80)</f>
        <v/>
      </c>
      <c r="C80" s="22"/>
      <c r="D80" s="22"/>
      <c r="E80" s="22"/>
      <c r="F80" s="22"/>
      <c r="G80" s="22"/>
      <c r="H80" s="22"/>
      <c r="I80" s="23" t="n">
        <f aca="false">IF(B80="",0,SQRT(B80*2^N(A80)))</f>
        <v>0</v>
      </c>
    </row>
    <row r="81" customFormat="false" ht="15" hidden="false" customHeight="false" outlineLevel="0" collapsed="false">
      <c r="A81" s="13" t="str">
        <f aca="false">IF(B81="","",$J$11-$J$8)</f>
        <v/>
      </c>
      <c r="B81" s="22" t="str">
        <f aca="false">IF(M81="","",M81)</f>
        <v/>
      </c>
      <c r="C81" s="22"/>
      <c r="D81" s="22"/>
      <c r="E81" s="22"/>
      <c r="F81" s="22"/>
      <c r="G81" s="22"/>
      <c r="H81" s="22"/>
      <c r="I81" s="23" t="n">
        <f aca="false">IF(B81="",0,SQRT(B81*2^N(A81)))</f>
        <v>0</v>
      </c>
    </row>
    <row r="82" customFormat="false" ht="15" hidden="false" customHeight="false" outlineLevel="0" collapsed="false">
      <c r="A82" s="13" t="str">
        <f aca="false">IF(B82="","",$J$11-$J$8)</f>
        <v/>
      </c>
      <c r="B82" s="22" t="str">
        <f aca="false">IF(M82="","",M82)</f>
        <v/>
      </c>
      <c r="C82" s="22"/>
      <c r="D82" s="22"/>
      <c r="E82" s="22"/>
      <c r="F82" s="22"/>
      <c r="G82" s="22"/>
      <c r="H82" s="22"/>
      <c r="I82" s="23" t="n">
        <f aca="false">IF(B82="",0,SQRT(B82*2^N(A82)))</f>
        <v>0</v>
      </c>
    </row>
    <row r="83" customFormat="false" ht="15" hidden="false" customHeight="false" outlineLevel="0" collapsed="false">
      <c r="A83" s="13" t="str">
        <f aca="false">IF(B83="","",$J$11-$J$8)</f>
        <v/>
      </c>
      <c r="B83" s="22" t="str">
        <f aca="false">IF(M83="","",M83)</f>
        <v/>
      </c>
      <c r="C83" s="22"/>
      <c r="D83" s="22"/>
      <c r="E83" s="22"/>
      <c r="F83" s="22"/>
      <c r="G83" s="22"/>
      <c r="H83" s="22"/>
      <c r="I83" s="23" t="n">
        <f aca="false">IF(B83="",0,SQRT(B83*2^N(A83)))</f>
        <v>0</v>
      </c>
    </row>
    <row r="84" customFormat="false" ht="15" hidden="false" customHeight="false" outlineLevel="0" collapsed="false">
      <c r="A84" s="13" t="str">
        <f aca="false">IF(B84="","",$J$11-$J$8)</f>
        <v/>
      </c>
      <c r="B84" s="22" t="str">
        <f aca="false">IF(M84="","",M84)</f>
        <v/>
      </c>
      <c r="C84" s="22"/>
      <c r="D84" s="22"/>
      <c r="E84" s="22"/>
      <c r="F84" s="22"/>
      <c r="G84" s="22"/>
      <c r="H84" s="22"/>
      <c r="I84" s="23" t="n">
        <f aca="false">IF(B84="",0,SQRT(B84*2^N(A84)))</f>
        <v>0</v>
      </c>
    </row>
    <row r="85" customFormat="false" ht="15" hidden="false" customHeight="false" outlineLevel="0" collapsed="false">
      <c r="A85" s="13" t="str">
        <f aca="false">IF(B85="","",$J$11-$J$8)</f>
        <v/>
      </c>
      <c r="B85" s="22" t="str">
        <f aca="false">IF(M85="","",M85)</f>
        <v/>
      </c>
      <c r="C85" s="22"/>
      <c r="D85" s="22"/>
      <c r="E85" s="22"/>
      <c r="F85" s="22"/>
      <c r="G85" s="22"/>
      <c r="H85" s="22"/>
      <c r="I85" s="23" t="n">
        <f aca="false">IF(B85="",0,SQRT(B85*2^N(A85)))</f>
        <v>0</v>
      </c>
    </row>
    <row r="86" customFormat="false" ht="15" hidden="false" customHeight="false" outlineLevel="0" collapsed="false">
      <c r="A86" s="13" t="str">
        <f aca="false">IF(B86="","",$J$11-$J$8)</f>
        <v/>
      </c>
      <c r="B86" s="22" t="str">
        <f aca="false">IF(M86="","",M86)</f>
        <v/>
      </c>
      <c r="C86" s="22"/>
      <c r="D86" s="22"/>
      <c r="E86" s="22"/>
      <c r="F86" s="22"/>
      <c r="G86" s="22"/>
      <c r="H86" s="22"/>
      <c r="I86" s="23" t="n">
        <f aca="false">IF(B86="",0,SQRT(B86*2^N(A86)))</f>
        <v>0</v>
      </c>
    </row>
    <row r="87" customFormat="false" ht="15" hidden="false" customHeight="false" outlineLevel="0" collapsed="false">
      <c r="A87" s="13" t="str">
        <f aca="false">IF(B87="","",$J$11-$J$8)</f>
        <v/>
      </c>
      <c r="B87" s="22" t="str">
        <f aca="false">IF(M87="","",M87)</f>
        <v/>
      </c>
      <c r="C87" s="22"/>
      <c r="D87" s="22"/>
      <c r="E87" s="22"/>
      <c r="F87" s="22"/>
      <c r="G87" s="22"/>
      <c r="H87" s="22"/>
      <c r="I87" s="23" t="n">
        <f aca="false">IF(B87="",0,SQRT(B87*2^N(A87)))</f>
        <v>0</v>
      </c>
    </row>
    <row r="88" customFormat="false" ht="15" hidden="false" customHeight="false" outlineLevel="0" collapsed="false">
      <c r="A88" s="13" t="str">
        <f aca="false">IF(B88="","",$J$11-$J$8)</f>
        <v/>
      </c>
      <c r="B88" s="22" t="str">
        <f aca="false">IF(M88="","",M88)</f>
        <v/>
      </c>
      <c r="C88" s="22"/>
      <c r="D88" s="22"/>
      <c r="E88" s="22"/>
      <c r="F88" s="22"/>
      <c r="G88" s="22"/>
      <c r="H88" s="22"/>
      <c r="I88" s="23" t="n">
        <f aca="false">IF(B88="",0,SQRT(B88*2^N(A88)))</f>
        <v>0</v>
      </c>
    </row>
    <row r="89" customFormat="false" ht="15" hidden="false" customHeight="false" outlineLevel="0" collapsed="false">
      <c r="A89" s="13" t="str">
        <f aca="false">IF(B89="","",$J$11-$J$8)</f>
        <v/>
      </c>
      <c r="B89" s="22" t="str">
        <f aca="false">IF(M89="","",M89)</f>
        <v/>
      </c>
      <c r="C89" s="22"/>
      <c r="D89" s="22"/>
      <c r="E89" s="22"/>
      <c r="F89" s="22"/>
      <c r="G89" s="22"/>
      <c r="H89" s="22"/>
      <c r="I89" s="23" t="n">
        <f aca="false">IF(B89="",0,SQRT(B89*2^N(A89)))</f>
        <v>0</v>
      </c>
    </row>
    <row r="90" customFormat="false" ht="15" hidden="false" customHeight="false" outlineLevel="0" collapsed="false">
      <c r="A90" s="13" t="str">
        <f aca="false">IF(B90="","",$J$11-$J$8)</f>
        <v/>
      </c>
      <c r="B90" s="22" t="str">
        <f aca="false">IF(M90="","",M90)</f>
        <v/>
      </c>
      <c r="C90" s="22"/>
      <c r="D90" s="22"/>
      <c r="E90" s="22"/>
      <c r="F90" s="22"/>
      <c r="G90" s="22"/>
      <c r="H90" s="22"/>
      <c r="I90" s="23" t="n">
        <f aca="false">IF(B90="",0,SQRT(B90*2^N(A90)))</f>
        <v>0</v>
      </c>
    </row>
    <row r="91" customFormat="false" ht="15" hidden="false" customHeight="false" outlineLevel="0" collapsed="false">
      <c r="A91" s="13" t="str">
        <f aca="false">IF(B91="","",$J$11-$J$8)</f>
        <v/>
      </c>
      <c r="B91" s="22" t="str">
        <f aca="false">IF(M91="","",M91)</f>
        <v/>
      </c>
      <c r="C91" s="22"/>
      <c r="D91" s="22"/>
      <c r="E91" s="22"/>
      <c r="F91" s="22"/>
      <c r="G91" s="22"/>
      <c r="H91" s="22"/>
      <c r="I91" s="23" t="n">
        <f aca="false">IF(B91="",0,SQRT(B91*2^N(A91)))</f>
        <v>0</v>
      </c>
    </row>
    <row r="92" customFormat="false" ht="15" hidden="false" customHeight="false" outlineLevel="0" collapsed="false">
      <c r="A92" s="13" t="str">
        <f aca="false">IF(B92="","",$J$11-$J$8)</f>
        <v/>
      </c>
      <c r="B92" s="22" t="str">
        <f aca="false">IF(M92="","",M92)</f>
        <v/>
      </c>
      <c r="C92" s="22"/>
      <c r="D92" s="22"/>
      <c r="E92" s="22"/>
      <c r="F92" s="22"/>
      <c r="G92" s="22"/>
      <c r="H92" s="22"/>
      <c r="I92" s="23" t="n">
        <f aca="false">IF(B92="",0,SQRT(B92*2^N(A92)))</f>
        <v>0</v>
      </c>
    </row>
    <row r="93" customFormat="false" ht="15" hidden="false" customHeight="false" outlineLevel="0" collapsed="false">
      <c r="A93" s="13" t="str">
        <f aca="false">IF(B93="","",$J$11-$J$8)</f>
        <v/>
      </c>
      <c r="B93" s="22" t="str">
        <f aca="false">IF(M93="","",M93)</f>
        <v/>
      </c>
      <c r="C93" s="22"/>
      <c r="D93" s="22"/>
      <c r="E93" s="22"/>
      <c r="F93" s="22"/>
      <c r="G93" s="22"/>
      <c r="H93" s="22"/>
      <c r="I93" s="23" t="n">
        <f aca="false">IF(B93="",0,SQRT(B93*2^N(A93)))</f>
        <v>0</v>
      </c>
    </row>
    <row r="94" customFormat="false" ht="15" hidden="false" customHeight="false" outlineLevel="0" collapsed="false">
      <c r="A94" s="13" t="str">
        <f aca="false">IF(B94="","",$J$11-$J$8)</f>
        <v/>
      </c>
      <c r="B94" s="22" t="str">
        <f aca="false">IF(M94="","",M94)</f>
        <v/>
      </c>
      <c r="C94" s="22"/>
      <c r="D94" s="22"/>
      <c r="E94" s="22"/>
      <c r="F94" s="22"/>
      <c r="G94" s="22"/>
      <c r="H94" s="22"/>
      <c r="I94" s="23" t="n">
        <f aca="false">IF(B94="",0,SQRT(B94*2^N(A94)))</f>
        <v>0</v>
      </c>
    </row>
  </sheetData>
  <dataValidations count="3">
    <dataValidation allowBlank="true" error="T must be a positive number of seconds." errorStyle="warning" errorTitle="T" operator="greaterThan" showDropDown="false" showErrorMessage="false" showInputMessage="false" sqref="B15:B94" type="decimal">
      <formula1>0</formula1>
      <formula2>0</formula2>
    </dataValidation>
    <dataValidation allowBlank="true" error="Gray level: 1 (white) … 11 (black)." errorStyle="warning" errorTitle="Gray level" operator="between" showDropDown="false" showErrorMessage="false" showInputMessage="false" sqref="C15:H94" type="decimal">
      <formula1>1</formula1>
      <formula2>11</formula2>
    </dataValidation>
    <dataValidation allowBlank="false" error="Between 3 and 59 strips per level." errorStyle="warning" errorTitle="Strips" operator="between" showDropDown="false" showErrorMessage="false" showInputMessage="false" sqref="O7" type="whole">
      <formula1>3</formula1>
      <formula2>59</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2026-10-25T14:15:11Z</dcterms:created>
  <dc:creator>openpyxl</dc:creator>
  <dc:description/>
  <dc:language>en-US</dc:language>
  <cp:lastModifiedBy/>
  <dcterms:modified xsi:type="dcterms:W3CDTF">2026-10-25T14:15:13Z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